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21-22 BUDGET\ADOPTED BUDGET 2021-2022\2021-2022 ADOPTED BUDGET\"/>
    </mc:Choice>
  </mc:AlternateContent>
  <xr:revisionPtr revIDLastSave="0" documentId="13_ncr:1_{C9A42D11-34C9-4EC1-B1BC-BFEC08F083A1}" xr6:coauthVersionLast="46" xr6:coauthVersionMax="46" xr10:uidLastSave="{00000000-0000-0000-0000-000000000000}"/>
  <bookViews>
    <workbookView xWindow="-120" yWindow="-120" windowWidth="29040" windowHeight="15840" tabRatio="965" xr2:uid="{00000000-000D-0000-FFFF-FFFF00000000}"/>
  </bookViews>
  <sheets>
    <sheet name="Cover" sheetId="10" r:id="rId1"/>
    <sheet name="comb funds by func" sheetId="1" r:id="rId2"/>
    <sheet name="Cover Supporting Sch" sheetId="11" r:id="rId3"/>
    <sheet name="GF by funct " sheetId="9" r:id="rId4"/>
    <sheet name="GF by Func 2.5%" sheetId="16" state="hidden" r:id="rId5"/>
    <sheet name="GF by Func 3%" sheetId="15" state="hidden" r:id="rId6"/>
    <sheet name="GF Rev by Obj" sheetId="2" r:id="rId7"/>
    <sheet name="GF Exp by Func &amp; Mj Obj " sheetId="3" r:id="rId8"/>
    <sheet name="2.5% Pay Increase" sheetId="13" state="hidden" r:id="rId9"/>
    <sheet name="GF Exp by Maj Obj" sheetId="4" r:id="rId10"/>
    <sheet name="FS Fund" sheetId="5" r:id="rId11"/>
    <sheet name="DS Fund" sheetId="6" r:id="rId12"/>
  </sheets>
  <definedNames>
    <definedName name="_xlnm.Print_Area" localSheetId="8">'2.5% Pay Increase'!$A$1:$I$162</definedName>
    <definedName name="_xlnm.Print_Area" localSheetId="0">Cover!$A$1:$K$37</definedName>
    <definedName name="_xlnm.Print_Area" localSheetId="2">'Cover Supporting Sch'!$A$1:$K$37</definedName>
    <definedName name="_xlnm.Print_Area" localSheetId="11">'DS Fund'!$A$1:$J$44</definedName>
    <definedName name="_xlnm.Print_Area" localSheetId="10">'FS Fund'!$A$1:$J$51</definedName>
    <definedName name="_xlnm.Print_Area" localSheetId="5">'GF by Func 3%'!$A$1:$G$52</definedName>
    <definedName name="_xlnm.Print_Area" localSheetId="3">'GF by funct '!$A$1:$G$58</definedName>
    <definedName name="_xlnm.Print_Area" localSheetId="9">'GF Exp by Maj Obj'!$A$1:$L$15</definedName>
    <definedName name="_xlnm.Print_Area" localSheetId="6">'GF Rev by Obj'!$A$1:$G$57</definedName>
    <definedName name="_xlnm.Print_Area">Cover!$A$4:$J$38</definedName>
    <definedName name="_xlnm.Print_Titles" localSheetId="7">'GF Exp by Func &amp; Mj Obj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1" l="1"/>
  <c r="D68" i="1"/>
  <c r="F39" i="5" l="1"/>
  <c r="J8" i="4" l="1"/>
  <c r="F9" i="3"/>
  <c r="F19" i="9" l="1"/>
  <c r="D115" i="3"/>
  <c r="D116" i="3"/>
  <c r="D117" i="3"/>
  <c r="F115" i="3"/>
  <c r="F116" i="3"/>
  <c r="F117" i="3"/>
  <c r="H122" i="3" l="1"/>
  <c r="H108" i="3"/>
  <c r="H62" i="3"/>
  <c r="D8" i="4" l="1"/>
  <c r="D11" i="4"/>
  <c r="D22" i="6" l="1"/>
  <c r="D9" i="5" l="1"/>
  <c r="D10" i="5"/>
  <c r="F31" i="2" l="1"/>
  <c r="F12" i="9" l="1"/>
  <c r="F11" i="9"/>
  <c r="F10" i="9"/>
  <c r="F9" i="9"/>
  <c r="F13" i="9" l="1"/>
  <c r="D45" i="9" l="1"/>
  <c r="D11" i="9"/>
  <c r="H13" i="4" l="1"/>
  <c r="H11" i="4"/>
  <c r="H8" i="4"/>
  <c r="H10" i="4" l="1"/>
  <c r="H9" i="4"/>
  <c r="F11" i="4"/>
  <c r="F101" i="3" l="1"/>
  <c r="D101" i="3"/>
  <c r="D77" i="3"/>
  <c r="F77" i="3"/>
  <c r="F63" i="3"/>
  <c r="H77" i="3" l="1"/>
  <c r="D63" i="3"/>
  <c r="D12" i="9"/>
  <c r="D9" i="9"/>
  <c r="D10" i="9"/>
  <c r="H147" i="3" l="1"/>
  <c r="H148" i="3" s="1"/>
  <c r="E12" i="9" l="1"/>
  <c r="E11" i="9"/>
  <c r="E10" i="9"/>
  <c r="E9" i="9"/>
  <c r="D47" i="9"/>
  <c r="E47" i="9"/>
  <c r="D38" i="9"/>
  <c r="D15" i="4"/>
  <c r="E49" i="2"/>
  <c r="E42" i="2"/>
  <c r="E33" i="2"/>
  <c r="E24" i="2"/>
  <c r="D49" i="2"/>
  <c r="D42" i="2"/>
  <c r="D33" i="2"/>
  <c r="D24" i="2"/>
  <c r="E51" i="2" l="1"/>
  <c r="E13" i="9"/>
  <c r="D13" i="9"/>
  <c r="D51" i="2"/>
  <c r="D42" i="9" l="1"/>
  <c r="D49" i="9" s="1"/>
  <c r="J44" i="5"/>
  <c r="H44" i="5"/>
  <c r="F44" i="5"/>
  <c r="D44" i="5"/>
  <c r="J35" i="5"/>
  <c r="H35" i="5"/>
  <c r="F35" i="5"/>
  <c r="D35" i="5"/>
  <c r="J25" i="5"/>
  <c r="H25" i="5"/>
  <c r="F25" i="5"/>
  <c r="D25" i="5"/>
  <c r="D27" i="5" s="1"/>
  <c r="J18" i="5"/>
  <c r="H18" i="5"/>
  <c r="F18" i="5"/>
  <c r="D18" i="5"/>
  <c r="J12" i="5"/>
  <c r="H12" i="5"/>
  <c r="F12" i="5"/>
  <c r="D12" i="5"/>
  <c r="J37" i="6"/>
  <c r="H37" i="6"/>
  <c r="F37" i="6"/>
  <c r="D37" i="6"/>
  <c r="J28" i="6"/>
  <c r="F28" i="6"/>
  <c r="D28" i="6"/>
  <c r="H26" i="6"/>
  <c r="H28" i="6" s="1"/>
  <c r="F27" i="5" l="1"/>
  <c r="F48" i="5" s="1"/>
  <c r="D39" i="5"/>
  <c r="D48" i="5" s="1"/>
  <c r="H27" i="5"/>
  <c r="H39" i="5" s="1"/>
  <c r="H48" i="5" s="1"/>
  <c r="J27" i="5"/>
  <c r="J39" i="5" s="1"/>
  <c r="J48" i="5" s="1"/>
  <c r="D32" i="6" l="1"/>
  <c r="D41" i="6" s="1"/>
  <c r="D10" i="1" l="1"/>
  <c r="F22" i="9" l="1"/>
  <c r="D165" i="3"/>
  <c r="E37" i="9" s="1"/>
  <c r="D161" i="3"/>
  <c r="E36" i="9" s="1"/>
  <c r="D157" i="3"/>
  <c r="E35" i="9" s="1"/>
  <c r="D153" i="3"/>
  <c r="D148" i="3"/>
  <c r="E34" i="9" s="1"/>
  <c r="D144" i="3"/>
  <c r="D139" i="3"/>
  <c r="E31" i="9" s="1"/>
  <c r="D132" i="3"/>
  <c r="E30" i="9" s="1"/>
  <c r="D124" i="3"/>
  <c r="E29" i="9" s="1"/>
  <c r="D109" i="3"/>
  <c r="E28" i="9" s="1"/>
  <c r="E27" i="9"/>
  <c r="D85" i="3"/>
  <c r="E25" i="9" s="1"/>
  <c r="D81" i="3"/>
  <c r="E24" i="9"/>
  <c r="D70" i="3"/>
  <c r="E22" i="9"/>
  <c r="D57" i="3"/>
  <c r="D49" i="3"/>
  <c r="E21" i="9" s="1"/>
  <c r="D42" i="3"/>
  <c r="E20" i="9" s="1"/>
  <c r="D35" i="3"/>
  <c r="E19" i="9" s="1"/>
  <c r="D21" i="3"/>
  <c r="E17" i="9" s="1"/>
  <c r="D14" i="3"/>
  <c r="E16" i="9" s="1"/>
  <c r="E23" i="9" l="1"/>
  <c r="D93" i="3"/>
  <c r="E26" i="9" s="1"/>
  <c r="D28" i="3"/>
  <c r="E18" i="9" s="1"/>
  <c r="D167" i="3" l="1"/>
  <c r="E38" i="9"/>
  <c r="E42" i="9" s="1"/>
  <c r="E49" i="9" s="1"/>
  <c r="E130" i="13"/>
  <c r="E122" i="13"/>
  <c r="E114" i="13"/>
  <c r="E99" i="13"/>
  <c r="E92" i="13"/>
  <c r="E84" i="13"/>
  <c r="E80" i="13"/>
  <c r="E71" i="13"/>
  <c r="E64" i="13"/>
  <c r="E59" i="13"/>
  <c r="E45" i="13"/>
  <c r="E38" i="13"/>
  <c r="E31" i="13"/>
  <c r="E24" i="13"/>
  <c r="E17" i="13"/>
  <c r="E9" i="13"/>
  <c r="M162" i="13"/>
  <c r="AA39" i="15"/>
  <c r="Y39" i="15"/>
  <c r="W39" i="15"/>
  <c r="S39" i="15"/>
  <c r="AA38" i="15"/>
  <c r="Y38" i="15"/>
  <c r="W38" i="15"/>
  <c r="U38" i="15"/>
  <c r="S38" i="15"/>
  <c r="AA39" i="16"/>
  <c r="Y39" i="16"/>
  <c r="W39" i="16"/>
  <c r="S39" i="16"/>
  <c r="AA38" i="16"/>
  <c r="Y38" i="16"/>
  <c r="W38" i="16"/>
  <c r="U38" i="16"/>
  <c r="S38" i="16"/>
  <c r="F28" i="15"/>
  <c r="F25" i="15"/>
  <c r="F37" i="15"/>
  <c r="F36" i="15"/>
  <c r="F35" i="15"/>
  <c r="F34" i="15"/>
  <c r="F20" i="15"/>
  <c r="F18" i="15"/>
  <c r="G46" i="15"/>
  <c r="C45" i="15"/>
  <c r="C47" i="15" s="1"/>
  <c r="C38" i="15"/>
  <c r="D33" i="15"/>
  <c r="G33" i="15" s="1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F12" i="15"/>
  <c r="D12" i="15"/>
  <c r="F11" i="15"/>
  <c r="D11" i="15"/>
  <c r="F10" i="15"/>
  <c r="D10" i="15"/>
  <c r="C10" i="15"/>
  <c r="F9" i="15"/>
  <c r="E9" i="15"/>
  <c r="D9" i="15"/>
  <c r="C9" i="15"/>
  <c r="G10" i="15" l="1"/>
  <c r="G11" i="15"/>
  <c r="D13" i="15"/>
  <c r="G12" i="15"/>
  <c r="F30" i="15"/>
  <c r="E38" i="15"/>
  <c r="G9" i="15"/>
  <c r="F21" i="15"/>
  <c r="F16" i="15"/>
  <c r="F19" i="15"/>
  <c r="F17" i="15"/>
  <c r="F23" i="15"/>
  <c r="F24" i="15"/>
  <c r="F31" i="15"/>
  <c r="F27" i="15"/>
  <c r="F13" i="15"/>
  <c r="E127" i="13"/>
  <c r="F30" i="16" s="1"/>
  <c r="G92" i="13"/>
  <c r="E81" i="13"/>
  <c r="F25" i="16" s="1"/>
  <c r="G64" i="13"/>
  <c r="F12" i="16"/>
  <c r="F11" i="16"/>
  <c r="F10" i="16"/>
  <c r="F9" i="16"/>
  <c r="F35" i="16"/>
  <c r="F34" i="16"/>
  <c r="E160" i="13"/>
  <c r="F37" i="16" s="1"/>
  <c r="C160" i="13"/>
  <c r="G160" i="13" s="1"/>
  <c r="G159" i="13"/>
  <c r="E156" i="13"/>
  <c r="F36" i="16" s="1"/>
  <c r="C156" i="13"/>
  <c r="G155" i="13"/>
  <c r="E152" i="13"/>
  <c r="C152" i="13"/>
  <c r="G151" i="13"/>
  <c r="E148" i="13"/>
  <c r="C148" i="13"/>
  <c r="G148" i="13" s="1"/>
  <c r="G146" i="13"/>
  <c r="E143" i="13"/>
  <c r="C143" i="13"/>
  <c r="E139" i="13"/>
  <c r="F32" i="15" s="1"/>
  <c r="C139" i="13"/>
  <c r="G137" i="13"/>
  <c r="C134" i="13"/>
  <c r="G133" i="13"/>
  <c r="G132" i="13"/>
  <c r="G131" i="13"/>
  <c r="E134" i="13"/>
  <c r="F31" i="16" s="1"/>
  <c r="C127" i="13"/>
  <c r="G125" i="13"/>
  <c r="G124" i="13"/>
  <c r="G123" i="13"/>
  <c r="C119" i="13"/>
  <c r="G118" i="13"/>
  <c r="G117" i="13"/>
  <c r="G116" i="13"/>
  <c r="G115" i="13"/>
  <c r="E119" i="13"/>
  <c r="F29" i="16" s="1"/>
  <c r="E112" i="13"/>
  <c r="C112" i="13"/>
  <c r="E111" i="13"/>
  <c r="C111" i="13"/>
  <c r="E110" i="13"/>
  <c r="C110" i="13"/>
  <c r="A107" i="13"/>
  <c r="C104" i="13"/>
  <c r="G103" i="13"/>
  <c r="G102" i="13"/>
  <c r="G101" i="13"/>
  <c r="G100" i="13"/>
  <c r="E104" i="13"/>
  <c r="F28" i="16" s="1"/>
  <c r="C96" i="13"/>
  <c r="E95" i="13"/>
  <c r="G94" i="13"/>
  <c r="G93" i="13"/>
  <c r="C89" i="13"/>
  <c r="G88" i="13"/>
  <c r="E87" i="13"/>
  <c r="G87" i="13" s="1"/>
  <c r="G86" i="13"/>
  <c r="G85" i="13"/>
  <c r="C81" i="13"/>
  <c r="E77" i="13"/>
  <c r="C77" i="13"/>
  <c r="G77" i="13" s="1"/>
  <c r="G76" i="13"/>
  <c r="C73" i="13"/>
  <c r="G72" i="13"/>
  <c r="E73" i="13"/>
  <c r="F24" i="16" s="1"/>
  <c r="C68" i="13"/>
  <c r="G67" i="13"/>
  <c r="G66" i="13"/>
  <c r="G65" i="13"/>
  <c r="C61" i="13"/>
  <c r="G60" i="13"/>
  <c r="E61" i="13"/>
  <c r="E57" i="13"/>
  <c r="C57" i="13"/>
  <c r="E56" i="13"/>
  <c r="C56" i="13"/>
  <c r="E55" i="13"/>
  <c r="C55" i="13"/>
  <c r="A52" i="13"/>
  <c r="C49" i="13"/>
  <c r="G48" i="13"/>
  <c r="G47" i="13"/>
  <c r="G46" i="13"/>
  <c r="C42" i="13"/>
  <c r="G41" i="13"/>
  <c r="G40" i="13"/>
  <c r="G39" i="13"/>
  <c r="E42" i="13"/>
  <c r="F20" i="16" s="1"/>
  <c r="E35" i="13"/>
  <c r="C35" i="13"/>
  <c r="G34" i="13"/>
  <c r="G33" i="13"/>
  <c r="G32" i="13"/>
  <c r="C28" i="13"/>
  <c r="G27" i="13"/>
  <c r="G26" i="13"/>
  <c r="G25" i="13"/>
  <c r="C21" i="13"/>
  <c r="G20" i="13"/>
  <c r="G19" i="13"/>
  <c r="G18" i="13"/>
  <c r="E21" i="13"/>
  <c r="F17" i="16" s="1"/>
  <c r="C14" i="13"/>
  <c r="G13" i="13"/>
  <c r="G12" i="13"/>
  <c r="G11" i="13"/>
  <c r="G10" i="13"/>
  <c r="Q9" i="13"/>
  <c r="Q162" i="13" s="1"/>
  <c r="P9" i="13"/>
  <c r="P162" i="13" s="1"/>
  <c r="E14" i="13"/>
  <c r="F16" i="16" s="1"/>
  <c r="G46" i="16"/>
  <c r="C45" i="16"/>
  <c r="C47" i="16" s="1"/>
  <c r="C38" i="16"/>
  <c r="D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38" i="16" s="1"/>
  <c r="D12" i="16"/>
  <c r="D11" i="16"/>
  <c r="D10" i="16"/>
  <c r="C10" i="16"/>
  <c r="E9" i="16"/>
  <c r="D9" i="16"/>
  <c r="C9" i="16"/>
  <c r="G12" i="16" l="1"/>
  <c r="G13" i="15"/>
  <c r="G10" i="16"/>
  <c r="D13" i="16"/>
  <c r="G61" i="13"/>
  <c r="F32" i="16"/>
  <c r="F26" i="15"/>
  <c r="G9" i="16"/>
  <c r="F22" i="15"/>
  <c r="F29" i="15"/>
  <c r="G11" i="16"/>
  <c r="C162" i="13"/>
  <c r="G35" i="13"/>
  <c r="F22" i="16"/>
  <c r="F19" i="16"/>
  <c r="G33" i="16"/>
  <c r="G84" i="13"/>
  <c r="G122" i="13"/>
  <c r="G71" i="13"/>
  <c r="G152" i="13"/>
  <c r="G17" i="13"/>
  <c r="G114" i="13"/>
  <c r="G130" i="13"/>
  <c r="G156" i="13"/>
  <c r="G81" i="13"/>
  <c r="G42" i="13"/>
  <c r="G21" i="13"/>
  <c r="G119" i="13"/>
  <c r="G134" i="13"/>
  <c r="G14" i="13"/>
  <c r="G127" i="13"/>
  <c r="G9" i="13"/>
  <c r="G24" i="13"/>
  <c r="G31" i="13"/>
  <c r="G45" i="13"/>
  <c r="E49" i="13"/>
  <c r="F21" i="16" s="1"/>
  <c r="G59" i="13"/>
  <c r="E68" i="13"/>
  <c r="F23" i="16" s="1"/>
  <c r="G95" i="13"/>
  <c r="E96" i="13"/>
  <c r="F27" i="16" s="1"/>
  <c r="G104" i="13"/>
  <c r="E28" i="13"/>
  <c r="F18" i="16" s="1"/>
  <c r="E89" i="13"/>
  <c r="F26" i="16" s="1"/>
  <c r="G99" i="13"/>
  <c r="G73" i="13"/>
  <c r="G80" i="13"/>
  <c r="G38" i="13"/>
  <c r="F13" i="16"/>
  <c r="G13" i="16" l="1"/>
  <c r="F38" i="15"/>
  <c r="F42" i="15" s="1"/>
  <c r="F38" i="16"/>
  <c r="F42" i="16" s="1"/>
  <c r="G96" i="13"/>
  <c r="E162" i="13"/>
  <c r="G28" i="13"/>
  <c r="G89" i="13"/>
  <c r="G68" i="13"/>
  <c r="G49" i="13"/>
  <c r="G162" i="13" l="1"/>
  <c r="I160" i="13"/>
  <c r="I156" i="13"/>
  <c r="I152" i="13"/>
  <c r="I148" i="13"/>
  <c r="I131" i="13"/>
  <c r="I126" i="13"/>
  <c r="I123" i="13"/>
  <c r="I116" i="13"/>
  <c r="I115" i="13"/>
  <c r="I92" i="13"/>
  <c r="I87" i="13"/>
  <c r="I86" i="13"/>
  <c r="I80" i="13"/>
  <c r="I77" i="13"/>
  <c r="I65" i="13"/>
  <c r="I41" i="13"/>
  <c r="I40" i="13"/>
  <c r="I39" i="13"/>
  <c r="I34" i="13"/>
  <c r="I27" i="13"/>
  <c r="I17" i="13"/>
  <c r="I12" i="13"/>
  <c r="I10" i="13"/>
  <c r="I19" i="13"/>
  <c r="I159" i="13"/>
  <c r="I155" i="13"/>
  <c r="I151" i="13"/>
  <c r="I147" i="13"/>
  <c r="I142" i="13"/>
  <c r="I137" i="13"/>
  <c r="I132" i="13"/>
  <c r="I124" i="13"/>
  <c r="I117" i="13"/>
  <c r="I93" i="13"/>
  <c r="I88" i="13"/>
  <c r="I76" i="13"/>
  <c r="I143" i="13"/>
  <c r="I133" i="13"/>
  <c r="I125" i="13"/>
  <c r="I101" i="13"/>
  <c r="I100" i="13"/>
  <c r="I94" i="13"/>
  <c r="I72" i="13"/>
  <c r="I67" i="13"/>
  <c r="I20" i="13"/>
  <c r="I66" i="13"/>
  <c r="I18" i="13"/>
  <c r="I162" i="13"/>
  <c r="I146" i="13"/>
  <c r="I138" i="13"/>
  <c r="I118" i="13"/>
  <c r="I103" i="13"/>
  <c r="I102" i="13"/>
  <c r="I85" i="13"/>
  <c r="I84" i="13"/>
  <c r="I60" i="13"/>
  <c r="I48" i="13"/>
  <c r="I47" i="13"/>
  <c r="I46" i="13"/>
  <c r="I33" i="13"/>
  <c r="I32" i="13"/>
  <c r="I26" i="13"/>
  <c r="I25" i="13"/>
  <c r="I13" i="13"/>
  <c r="I11" i="13"/>
  <c r="I71" i="13"/>
  <c r="I99" i="13"/>
  <c r="I45" i="13"/>
  <c r="I59" i="13"/>
  <c r="I127" i="13"/>
  <c r="I114" i="13"/>
  <c r="I81" i="13"/>
  <c r="I104" i="13"/>
  <c r="I73" i="13"/>
  <c r="I35" i="13"/>
  <c r="I122" i="13"/>
  <c r="I95" i="13"/>
  <c r="I139" i="13"/>
  <c r="I42" i="13"/>
  <c r="I119" i="13"/>
  <c r="I38" i="13"/>
  <c r="I61" i="13"/>
  <c r="I130" i="13"/>
  <c r="I9" i="13"/>
  <c r="I21" i="13"/>
  <c r="I134" i="13"/>
  <c r="I14" i="13"/>
  <c r="I31" i="13"/>
  <c r="I64" i="13"/>
  <c r="I24" i="13"/>
  <c r="I28" i="13"/>
  <c r="I68" i="13"/>
  <c r="I89" i="13"/>
  <c r="I96" i="13"/>
  <c r="I49" i="13"/>
  <c r="F35" i="3" l="1"/>
  <c r="F13" i="4" l="1"/>
  <c r="L120" i="3" l="1"/>
  <c r="H33" i="1"/>
  <c r="H39" i="1" s="1"/>
  <c r="H13" i="1"/>
  <c r="H12" i="1"/>
  <c r="H11" i="1"/>
  <c r="H10" i="1"/>
  <c r="F12" i="1"/>
  <c r="F148" i="3"/>
  <c r="F34" i="9" s="1"/>
  <c r="F93" i="3"/>
  <c r="F26" i="9" s="1"/>
  <c r="H73" i="3"/>
  <c r="F28" i="3"/>
  <c r="F18" i="9" s="1"/>
  <c r="L9" i="3"/>
  <c r="F12" i="4"/>
  <c r="F10" i="4"/>
  <c r="F9" i="4"/>
  <c r="F8" i="4"/>
  <c r="J13" i="4"/>
  <c r="H12" i="4"/>
  <c r="J11" i="4"/>
  <c r="L35" i="3"/>
  <c r="F49" i="3"/>
  <c r="F21" i="9" s="1"/>
  <c r="F70" i="3"/>
  <c r="F23" i="9" s="1"/>
  <c r="F132" i="3"/>
  <c r="F139" i="3"/>
  <c r="F31" i="9" s="1"/>
  <c r="F144" i="3"/>
  <c r="F32" i="9" s="1"/>
  <c r="D33" i="1" s="1"/>
  <c r="F157" i="3"/>
  <c r="F35" i="9" s="1"/>
  <c r="F161" i="3"/>
  <c r="F165" i="3"/>
  <c r="F37" i="9" s="1"/>
  <c r="D38" i="1" s="1"/>
  <c r="H84" i="3"/>
  <c r="F22" i="6"/>
  <c r="F32" i="6" s="1"/>
  <c r="F41" i="6" s="1"/>
  <c r="D44" i="6"/>
  <c r="G12" i="9"/>
  <c r="G11" i="9"/>
  <c r="G33" i="9"/>
  <c r="F153" i="3"/>
  <c r="F81" i="3"/>
  <c r="L81" i="3" s="1"/>
  <c r="F49" i="2"/>
  <c r="H56" i="1"/>
  <c r="H55" i="1"/>
  <c r="H48" i="1"/>
  <c r="F55" i="1"/>
  <c r="F57" i="1" s="1"/>
  <c r="G46" i="9"/>
  <c r="G46" i="2"/>
  <c r="D56" i="1"/>
  <c r="D34" i="1"/>
  <c r="G47" i="2"/>
  <c r="G45" i="2"/>
  <c r="G37" i="2"/>
  <c r="G38" i="2"/>
  <c r="G39" i="2"/>
  <c r="G40" i="2"/>
  <c r="G36" i="2"/>
  <c r="G28" i="2"/>
  <c r="G29" i="2"/>
  <c r="G30" i="2"/>
  <c r="G31" i="2"/>
  <c r="G27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9" i="2"/>
  <c r="G8" i="2"/>
  <c r="F33" i="2"/>
  <c r="D12" i="1" s="1"/>
  <c r="F42" i="2"/>
  <c r="D13" i="1" s="1"/>
  <c r="F24" i="2"/>
  <c r="L143" i="3"/>
  <c r="L142" i="3"/>
  <c r="H142" i="3"/>
  <c r="H61" i="3"/>
  <c r="D56" i="3"/>
  <c r="D55" i="3"/>
  <c r="L77" i="5"/>
  <c r="L78" i="5"/>
  <c r="H80" i="3"/>
  <c r="L115" i="5"/>
  <c r="H81" i="3"/>
  <c r="L80" i="3"/>
  <c r="F56" i="3"/>
  <c r="F57" i="3"/>
  <c r="F55" i="3"/>
  <c r="L152" i="3"/>
  <c r="L164" i="3"/>
  <c r="L160" i="3"/>
  <c r="L156" i="3"/>
  <c r="L151" i="3"/>
  <c r="L138" i="3"/>
  <c r="L137" i="3"/>
  <c r="L136" i="3"/>
  <c r="L135" i="3"/>
  <c r="L131" i="3"/>
  <c r="L130" i="3"/>
  <c r="L129" i="3"/>
  <c r="L128" i="3"/>
  <c r="L127" i="3"/>
  <c r="L121" i="3"/>
  <c r="L108" i="3"/>
  <c r="L107" i="3"/>
  <c r="L106" i="3"/>
  <c r="L105" i="3"/>
  <c r="L99" i="3"/>
  <c r="L98" i="3"/>
  <c r="L97" i="3"/>
  <c r="L92" i="3"/>
  <c r="L91" i="3"/>
  <c r="L90" i="3"/>
  <c r="L89" i="3"/>
  <c r="L69" i="3"/>
  <c r="L68" i="3"/>
  <c r="L67" i="3"/>
  <c r="L66" i="3"/>
  <c r="L59" i="3"/>
  <c r="L48" i="3"/>
  <c r="L47" i="3"/>
  <c r="L46" i="3"/>
  <c r="L41" i="3"/>
  <c r="L40" i="3"/>
  <c r="L39" i="3"/>
  <c r="L34" i="3"/>
  <c r="L33" i="3"/>
  <c r="L32" i="3"/>
  <c r="L31" i="3"/>
  <c r="L27" i="3"/>
  <c r="L26" i="3"/>
  <c r="L25" i="3"/>
  <c r="L24" i="3"/>
  <c r="L20" i="3"/>
  <c r="L19" i="3"/>
  <c r="L18" i="3"/>
  <c r="L10" i="3"/>
  <c r="L11" i="3"/>
  <c r="L12" i="3"/>
  <c r="L13" i="3"/>
  <c r="L96" i="3"/>
  <c r="B112" i="3"/>
  <c r="B52" i="3"/>
  <c r="L74" i="3"/>
  <c r="F48" i="1"/>
  <c r="D48" i="1"/>
  <c r="H22" i="6"/>
  <c r="H32" i="6" s="1"/>
  <c r="H41" i="6" s="1"/>
  <c r="J22" i="6"/>
  <c r="J32" i="6" s="1"/>
  <c r="J41" i="6" s="1"/>
  <c r="H164" i="3"/>
  <c r="H160" i="3"/>
  <c r="H156" i="3"/>
  <c r="H151" i="3"/>
  <c r="H138" i="3"/>
  <c r="H136" i="3"/>
  <c r="H137" i="3"/>
  <c r="H135" i="3"/>
  <c r="H128" i="3"/>
  <c r="H129" i="3"/>
  <c r="H130" i="3"/>
  <c r="H127" i="3"/>
  <c r="H121" i="3"/>
  <c r="H120" i="3"/>
  <c r="H105" i="3"/>
  <c r="H106" i="3"/>
  <c r="H107" i="3"/>
  <c r="H99" i="3"/>
  <c r="H98" i="3"/>
  <c r="H97" i="3"/>
  <c r="H96" i="3"/>
  <c r="H91" i="3"/>
  <c r="H90" i="3"/>
  <c r="H89" i="3"/>
  <c r="H74" i="3"/>
  <c r="H69" i="3"/>
  <c r="H68" i="3"/>
  <c r="H67" i="3"/>
  <c r="H66" i="3"/>
  <c r="H59" i="3"/>
  <c r="H48" i="3"/>
  <c r="H47" i="3"/>
  <c r="H46" i="3"/>
  <c r="H41" i="3"/>
  <c r="H40" i="3"/>
  <c r="H39" i="3"/>
  <c r="H34" i="3"/>
  <c r="H33" i="3"/>
  <c r="H32" i="3"/>
  <c r="H31" i="3"/>
  <c r="H27" i="3"/>
  <c r="H26" i="3"/>
  <c r="H20" i="3"/>
  <c r="H19" i="3"/>
  <c r="H18" i="3"/>
  <c r="H10" i="3"/>
  <c r="H11" i="3"/>
  <c r="H12" i="3"/>
  <c r="H25" i="3"/>
  <c r="F39" i="1"/>
  <c r="F27" i="9" l="1"/>
  <c r="D28" i="1" s="1"/>
  <c r="E10" i="16"/>
  <c r="L165" i="3"/>
  <c r="L161" i="3"/>
  <c r="F36" i="9"/>
  <c r="D37" i="1" s="1"/>
  <c r="F30" i="9"/>
  <c r="D31" i="1" s="1"/>
  <c r="L144" i="3"/>
  <c r="G49" i="2"/>
  <c r="G10" i="9"/>
  <c r="D11" i="1"/>
  <c r="D14" i="1" s="1"/>
  <c r="E10" i="15"/>
  <c r="L157" i="3"/>
  <c r="H57" i="1"/>
  <c r="H153" i="3"/>
  <c r="G35" i="9"/>
  <c r="H157" i="3"/>
  <c r="F11" i="1"/>
  <c r="L139" i="3"/>
  <c r="D32" i="15"/>
  <c r="G32" i="15" s="1"/>
  <c r="D32" i="16"/>
  <c r="G32" i="16" s="1"/>
  <c r="G32" i="9"/>
  <c r="D21" i="15"/>
  <c r="G21" i="15" s="1"/>
  <c r="D21" i="16"/>
  <c r="G21" i="16" s="1"/>
  <c r="D19" i="15"/>
  <c r="G19" i="15" s="1"/>
  <c r="D19" i="16"/>
  <c r="G19" i="16" s="1"/>
  <c r="D29" i="15"/>
  <c r="G29" i="15" s="1"/>
  <c r="D29" i="16"/>
  <c r="G29" i="16" s="1"/>
  <c r="D18" i="15"/>
  <c r="G18" i="15" s="1"/>
  <c r="D18" i="16"/>
  <c r="G18" i="16" s="1"/>
  <c r="D30" i="15"/>
  <c r="G30" i="15" s="1"/>
  <c r="D30" i="16"/>
  <c r="G30" i="16" s="1"/>
  <c r="D28" i="15"/>
  <c r="G28" i="15" s="1"/>
  <c r="D28" i="16"/>
  <c r="G28" i="16" s="1"/>
  <c r="D17" i="15"/>
  <c r="G17" i="15" s="1"/>
  <c r="D17" i="16"/>
  <c r="G17" i="16" s="1"/>
  <c r="D27" i="15"/>
  <c r="G27" i="15" s="1"/>
  <c r="D27" i="16"/>
  <c r="G27" i="16" s="1"/>
  <c r="E12" i="15"/>
  <c r="E12" i="16"/>
  <c r="E45" i="15"/>
  <c r="E47" i="15" s="1"/>
  <c r="E45" i="16"/>
  <c r="E47" i="16" s="1"/>
  <c r="F47" i="9"/>
  <c r="F45" i="15"/>
  <c r="F45" i="16"/>
  <c r="D26" i="15"/>
  <c r="G26" i="15" s="1"/>
  <c r="D26" i="16"/>
  <c r="G26" i="16" s="1"/>
  <c r="D16" i="15"/>
  <c r="D16" i="16"/>
  <c r="E11" i="15"/>
  <c r="E13" i="15" s="1"/>
  <c r="E42" i="15" s="1"/>
  <c r="E11" i="16"/>
  <c r="D51" i="5"/>
  <c r="H50" i="5" s="1"/>
  <c r="G34" i="9"/>
  <c r="D34" i="15"/>
  <c r="G34" i="15" s="1"/>
  <c r="D34" i="16"/>
  <c r="G34" i="16" s="1"/>
  <c r="D20" i="15"/>
  <c r="G20" i="15" s="1"/>
  <c r="D20" i="16"/>
  <c r="G20" i="16" s="1"/>
  <c r="D25" i="15"/>
  <c r="G25" i="15" s="1"/>
  <c r="D25" i="16"/>
  <c r="G25" i="16" s="1"/>
  <c r="H165" i="3"/>
  <c r="D37" i="15"/>
  <c r="G37" i="15" s="1"/>
  <c r="D37" i="16"/>
  <c r="G37" i="16" s="1"/>
  <c r="D24" i="15"/>
  <c r="G24" i="15" s="1"/>
  <c r="D24" i="16"/>
  <c r="G24" i="16" s="1"/>
  <c r="C12" i="15"/>
  <c r="C12" i="16"/>
  <c r="L153" i="3"/>
  <c r="D36" i="15"/>
  <c r="G36" i="15" s="1"/>
  <c r="D36" i="16"/>
  <c r="G36" i="16" s="1"/>
  <c r="D23" i="15"/>
  <c r="G23" i="15" s="1"/>
  <c r="D23" i="16"/>
  <c r="G23" i="16" s="1"/>
  <c r="C11" i="15"/>
  <c r="C11" i="16"/>
  <c r="D45" i="15"/>
  <c r="D47" i="15" s="1"/>
  <c r="D45" i="16"/>
  <c r="D47" i="16" s="1"/>
  <c r="G31" i="9"/>
  <c r="D31" i="15"/>
  <c r="G31" i="15" s="1"/>
  <c r="D31" i="16"/>
  <c r="G31" i="16" s="1"/>
  <c r="D35" i="15"/>
  <c r="G35" i="15" s="1"/>
  <c r="D35" i="16"/>
  <c r="G35" i="16" s="1"/>
  <c r="D22" i="15"/>
  <c r="G22" i="15" s="1"/>
  <c r="D22" i="16"/>
  <c r="G22" i="16" s="1"/>
  <c r="D36" i="1"/>
  <c r="H70" i="3"/>
  <c r="H132" i="3"/>
  <c r="L132" i="3"/>
  <c r="L70" i="3"/>
  <c r="F43" i="6"/>
  <c r="H43" i="6"/>
  <c r="L101" i="3"/>
  <c r="G22" i="9"/>
  <c r="L63" i="3"/>
  <c r="H63" i="3"/>
  <c r="F13" i="1"/>
  <c r="D22" i="1"/>
  <c r="L49" i="3"/>
  <c r="H49" i="3"/>
  <c r="F42" i="3"/>
  <c r="L38" i="3"/>
  <c r="H38" i="3"/>
  <c r="L104" i="3"/>
  <c r="F109" i="3"/>
  <c r="H104" i="3"/>
  <c r="H161" i="3"/>
  <c r="D57" i="1"/>
  <c r="H101" i="3"/>
  <c r="F21" i="3"/>
  <c r="H17" i="3"/>
  <c r="L17" i="3"/>
  <c r="H45" i="3"/>
  <c r="L45" i="3"/>
  <c r="F85" i="3"/>
  <c r="L84" i="3"/>
  <c r="H119" i="3"/>
  <c r="F124" i="3"/>
  <c r="L119" i="3"/>
  <c r="H14" i="1"/>
  <c r="H43" i="1" s="1"/>
  <c r="H52" i="1" s="1"/>
  <c r="H59" i="1" s="1"/>
  <c r="H24" i="3"/>
  <c r="H88" i="3"/>
  <c r="L88" i="3"/>
  <c r="F14" i="3"/>
  <c r="G37" i="9"/>
  <c r="F15" i="4"/>
  <c r="J10" i="4"/>
  <c r="G42" i="2"/>
  <c r="L148" i="3"/>
  <c r="D35" i="1"/>
  <c r="H139" i="3"/>
  <c r="D24" i="1"/>
  <c r="G23" i="9"/>
  <c r="D20" i="1"/>
  <c r="H35" i="3"/>
  <c r="L73" i="3"/>
  <c r="J9" i="4"/>
  <c r="L93" i="3"/>
  <c r="H93" i="3"/>
  <c r="G13" i="3"/>
  <c r="L28" i="3"/>
  <c r="G17" i="3"/>
  <c r="G16" i="3"/>
  <c r="G26" i="3"/>
  <c r="H28" i="3"/>
  <c r="G10" i="3"/>
  <c r="G11" i="3"/>
  <c r="G28" i="3"/>
  <c r="G22" i="3"/>
  <c r="G24" i="3"/>
  <c r="G23" i="3"/>
  <c r="G19" i="3"/>
  <c r="H9" i="3"/>
  <c r="G24" i="2"/>
  <c r="G9" i="9"/>
  <c r="G33" i="2"/>
  <c r="F51" i="2"/>
  <c r="E13" i="16" l="1"/>
  <c r="E42" i="16" s="1"/>
  <c r="F50" i="5"/>
  <c r="G36" i="9"/>
  <c r="G30" i="9"/>
  <c r="F24" i="9"/>
  <c r="H124" i="3"/>
  <c r="F29" i="9"/>
  <c r="H21" i="3"/>
  <c r="F17" i="9"/>
  <c r="D18" i="1" s="1"/>
  <c r="L85" i="3"/>
  <c r="F25" i="9"/>
  <c r="D26" i="1" s="1"/>
  <c r="L14" i="3"/>
  <c r="F16" i="9"/>
  <c r="G16" i="9" s="1"/>
  <c r="L109" i="3"/>
  <c r="F28" i="9"/>
  <c r="G28" i="9" s="1"/>
  <c r="L42" i="3"/>
  <c r="F20" i="9"/>
  <c r="G20" i="9" s="1"/>
  <c r="G13" i="9"/>
  <c r="F44" i="6"/>
  <c r="J43" i="6" s="1"/>
  <c r="J44" i="6" s="1"/>
  <c r="D52" i="9"/>
  <c r="F51" i="9" s="1"/>
  <c r="D61" i="1" s="1"/>
  <c r="H51" i="5"/>
  <c r="F14" i="1"/>
  <c r="F43" i="1" s="1"/>
  <c r="F52" i="1" s="1"/>
  <c r="F59" i="1" s="1"/>
  <c r="F167" i="3"/>
  <c r="D38" i="16"/>
  <c r="D42" i="16" s="1"/>
  <c r="D49" i="16" s="1"/>
  <c r="G16" i="16"/>
  <c r="G38" i="16" s="1"/>
  <c r="G42" i="16" s="1"/>
  <c r="D38" i="15"/>
  <c r="D42" i="15" s="1"/>
  <c r="D49" i="15" s="1"/>
  <c r="G16" i="15"/>
  <c r="G38" i="15" s="1"/>
  <c r="G42" i="15" s="1"/>
  <c r="C13" i="16"/>
  <c r="C42" i="16" s="1"/>
  <c r="C49" i="16" s="1"/>
  <c r="C52" i="16" s="1"/>
  <c r="C13" i="15"/>
  <c r="C42" i="15" s="1"/>
  <c r="C49" i="15" s="1"/>
  <c r="C52" i="15" s="1"/>
  <c r="H44" i="6"/>
  <c r="G45" i="16"/>
  <c r="G47" i="16" s="1"/>
  <c r="F47" i="16"/>
  <c r="F49" i="16" s="1"/>
  <c r="F51" i="5"/>
  <c r="J50" i="5" s="1"/>
  <c r="F61" i="1" s="1"/>
  <c r="F47" i="15"/>
  <c r="F49" i="15" s="1"/>
  <c r="G45" i="15"/>
  <c r="G47" i="15" s="1"/>
  <c r="G45" i="9"/>
  <c r="G47" i="9" s="1"/>
  <c r="D23" i="1"/>
  <c r="D32" i="1"/>
  <c r="H109" i="3"/>
  <c r="G27" i="9"/>
  <c r="G21" i="9"/>
  <c r="L21" i="3"/>
  <c r="H42" i="3"/>
  <c r="H85" i="3"/>
  <c r="L124" i="3"/>
  <c r="G19" i="9"/>
  <c r="H14" i="3"/>
  <c r="G51" i="2"/>
  <c r="L77" i="3"/>
  <c r="H15" i="4"/>
  <c r="G26" i="9"/>
  <c r="D27" i="1"/>
  <c r="G18" i="9"/>
  <c r="D19" i="1"/>
  <c r="L9" i="4" l="1"/>
  <c r="L8" i="4"/>
  <c r="J9" i="3"/>
  <c r="J100" i="3"/>
  <c r="H61" i="1"/>
  <c r="H62" i="1" s="1"/>
  <c r="J32" i="3"/>
  <c r="E51" i="9"/>
  <c r="E52" i="9" s="1"/>
  <c r="F62" i="1"/>
  <c r="J51" i="5"/>
  <c r="E51" i="15"/>
  <c r="E52" i="15" s="1"/>
  <c r="F51" i="15" s="1"/>
  <c r="F52" i="15" s="1"/>
  <c r="D51" i="15"/>
  <c r="D52" i="15" s="1"/>
  <c r="E51" i="16"/>
  <c r="E52" i="16" s="1"/>
  <c r="F51" i="16" s="1"/>
  <c r="F52" i="16" s="1"/>
  <c r="D51" i="16"/>
  <c r="D52" i="16" s="1"/>
  <c r="G49" i="15"/>
  <c r="D29" i="1"/>
  <c r="G49" i="16"/>
  <c r="G17" i="9"/>
  <c r="G25" i="9"/>
  <c r="D21" i="1"/>
  <c r="J101" i="3"/>
  <c r="J74" i="3"/>
  <c r="J131" i="3"/>
  <c r="J14" i="3"/>
  <c r="J61" i="3"/>
  <c r="J137" i="3"/>
  <c r="J107" i="3"/>
  <c r="J108" i="3"/>
  <c r="J17" i="3"/>
  <c r="J70" i="3"/>
  <c r="J69" i="3"/>
  <c r="J127" i="3"/>
  <c r="J91" i="3"/>
  <c r="J97" i="3"/>
  <c r="J135" i="3"/>
  <c r="J12" i="3"/>
  <c r="J147" i="3"/>
  <c r="J99" i="3"/>
  <c r="J59" i="3"/>
  <c r="J49" i="3"/>
  <c r="J167" i="3"/>
  <c r="J19" i="3"/>
  <c r="J122" i="3"/>
  <c r="J139" i="3"/>
  <c r="J98" i="3"/>
  <c r="J93" i="3"/>
  <c r="L167" i="3"/>
  <c r="J90" i="3"/>
  <c r="J92" i="3"/>
  <c r="J128" i="3"/>
  <c r="J34" i="3"/>
  <c r="J84" i="3"/>
  <c r="J80" i="3"/>
  <c r="J161" i="3"/>
  <c r="J88" i="3"/>
  <c r="J67" i="3"/>
  <c r="J105" i="3"/>
  <c r="J156" i="3"/>
  <c r="J40" i="3"/>
  <c r="J11" i="3"/>
  <c r="J104" i="3"/>
  <c r="J42" i="3"/>
  <c r="J66" i="3"/>
  <c r="J45" i="3"/>
  <c r="J10" i="3"/>
  <c r="J68" i="3"/>
  <c r="J136" i="3"/>
  <c r="H167" i="3"/>
  <c r="J28" i="3"/>
  <c r="J26" i="3"/>
  <c r="J96" i="3"/>
  <c r="J123" i="3"/>
  <c r="J27" i="3"/>
  <c r="J143" i="3"/>
  <c r="J132" i="3"/>
  <c r="J13" i="3"/>
  <c r="J39" i="3"/>
  <c r="J47" i="3"/>
  <c r="J121" i="3"/>
  <c r="J31" i="3"/>
  <c r="J46" i="3"/>
  <c r="J138" i="3"/>
  <c r="J21" i="3"/>
  <c r="J20" i="3"/>
  <c r="J41" i="3"/>
  <c r="J24" i="3"/>
  <c r="J144" i="3"/>
  <c r="J142" i="3"/>
  <c r="J124" i="3"/>
  <c r="J33" i="3"/>
  <c r="J151" i="3"/>
  <c r="J25" i="3"/>
  <c r="J77" i="3"/>
  <c r="J89" i="3"/>
  <c r="J129" i="3"/>
  <c r="J165" i="3"/>
  <c r="J63" i="3"/>
  <c r="J18" i="3"/>
  <c r="J120" i="3"/>
  <c r="J148" i="3"/>
  <c r="J35" i="3"/>
  <c r="J106" i="3"/>
  <c r="J160" i="3"/>
  <c r="J48" i="3"/>
  <c r="J153" i="3"/>
  <c r="J119" i="3"/>
  <c r="J85" i="3"/>
  <c r="J81" i="3"/>
  <c r="J38" i="3"/>
  <c r="J73" i="3"/>
  <c r="J109" i="3"/>
  <c r="J164" i="3"/>
  <c r="J157" i="3"/>
  <c r="J152" i="3"/>
  <c r="J130" i="3"/>
  <c r="D30" i="1"/>
  <c r="G29" i="9"/>
  <c r="D17" i="1"/>
  <c r="F38" i="9"/>
  <c r="L13" i="4"/>
  <c r="D25" i="1"/>
  <c r="G24" i="9"/>
  <c r="L10" i="4"/>
  <c r="J15" i="4"/>
  <c r="L11" i="4"/>
  <c r="L12" i="4"/>
  <c r="G38" i="9" l="1"/>
  <c r="G42" i="9" s="1"/>
  <c r="G49" i="9" s="1"/>
  <c r="F42" i="9"/>
  <c r="F49" i="9" s="1"/>
  <c r="F52" i="9" s="1"/>
  <c r="D39" i="1"/>
  <c r="D43" i="1" s="1"/>
  <c r="D52" i="1" s="1"/>
  <c r="D59" i="1" s="1"/>
  <c r="D62" i="1" s="1"/>
  <c r="L15" i="4"/>
</calcChain>
</file>

<file path=xl/sharedStrings.xml><?xml version="1.0" encoding="utf-8"?>
<sst xmlns="http://schemas.openxmlformats.org/spreadsheetml/2006/main" count="742" uniqueCount="245">
  <si>
    <t>Lewisville Independent School District</t>
  </si>
  <si>
    <t>Audited</t>
  </si>
  <si>
    <t>Budget</t>
  </si>
  <si>
    <t>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</si>
  <si>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</si>
  <si>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</si>
  <si>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</si>
  <si>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</si>
  <si>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</si>
  <si>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</si>
  <si>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</si>
  <si>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</si>
  <si>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</si>
  <si>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</si>
  <si>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</si>
  <si>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</si>
  <si>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</si>
  <si>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</si>
  <si>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</si>
  <si>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</si>
  <si>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</si>
  <si>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Debt Service</t>
  </si>
  <si>
    <t>Facilities Acquisition and Construction</t>
  </si>
  <si>
    <t>Payments to Fiscal Agents/Shared Service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</si>
  <si>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</si>
  <si>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</si>
  <si>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</si>
  <si>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</si>
  <si>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</si>
  <si>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</si>
  <si>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</si>
  <si>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</si>
  <si>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Other Financial Resources Over Expenditures</t>
  </si>
  <si>
    <t>and Other Financial Uses</t>
  </si>
  <si>
    <t>Fund Balance, beginning, 9/1</t>
  </si>
  <si>
    <t xml:space="preserve">   Fund Balance, ending, 8/31</t>
  </si>
  <si>
    <t>Property Tax Revenue</t>
  </si>
  <si>
    <t>Other Local Revenue</t>
  </si>
  <si>
    <t>State Revenue</t>
  </si>
  <si>
    <t>Combined Funds - General, Food Service, and Debt Service</t>
  </si>
  <si>
    <t>General</t>
  </si>
  <si>
    <t>Fund</t>
  </si>
  <si>
    <t>Federal Revenue</t>
  </si>
  <si>
    <t>Other Resources</t>
  </si>
  <si>
    <t>Projected</t>
  </si>
  <si>
    <t>Actual</t>
  </si>
  <si>
    <t>General Fund Revenue by Object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</si>
  <si>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</si>
  <si>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</si>
  <si>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</si>
  <si>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</si>
  <si>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</si>
  <si>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</si>
  <si>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</si>
  <si>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</si>
  <si>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</si>
  <si>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</si>
  <si>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</si>
  <si>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</si>
  <si>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</si>
  <si>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</si>
  <si>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</si>
  <si>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</si>
  <si>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</si>
  <si>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</si>
  <si>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</si>
  <si>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</si>
  <si>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</si>
  <si>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</si>
  <si>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</si>
  <si>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</si>
  <si>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</si>
  <si>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</si>
  <si>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</si>
  <si>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</si>
  <si>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</si>
  <si>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36 - Cocurricular/Extra curricular</t>
  </si>
  <si>
    <t>Total Function 36</t>
  </si>
  <si>
    <t>41 - General Administration</t>
  </si>
  <si>
    <t>Total Function 41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</si>
  <si>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</si>
  <si>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</si>
  <si>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</si>
  <si>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</si>
  <si>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</si>
  <si>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</si>
  <si>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</si>
  <si>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</si>
  <si>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Total Function 81</t>
  </si>
  <si>
    <t>93 - Payments to Fiscal Agent Shared Service</t>
  </si>
  <si>
    <t>6400 Other Operating Expenditures</t>
  </si>
  <si>
    <t>Total Function 93</t>
  </si>
  <si>
    <t>Total Function 95</t>
  </si>
  <si>
    <t>99 - Other Intergovernmental Charges</t>
  </si>
  <si>
    <t>Total Function 99</t>
  </si>
  <si>
    <t>Total Expenditures</t>
  </si>
  <si>
    <t>Total Function 35</t>
  </si>
  <si>
    <t>35 - Food Service</t>
  </si>
  <si>
    <t>Expenditure Summary by Major Object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</si>
  <si>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</si>
  <si>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</si>
  <si>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</si>
  <si>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</si>
  <si>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</si>
  <si>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</si>
  <si>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</si>
  <si>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</si>
  <si>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>66XX</t>
  </si>
  <si>
    <t>Capital Outlay</t>
  </si>
  <si>
    <t>Food Service Fund</t>
  </si>
  <si>
    <t>Food Service Activity</t>
  </si>
  <si>
    <t>Other</t>
  </si>
  <si>
    <t>Program Revenue Distributed by TEA</t>
  </si>
  <si>
    <t>TRS on Behalf</t>
  </si>
  <si>
    <t>Total Local Revenues</t>
  </si>
  <si>
    <t>Total State Revenues</t>
  </si>
  <si>
    <t>Local Revenues</t>
  </si>
  <si>
    <t>State Revenues</t>
  </si>
  <si>
    <t>Federal Breakfast Reimbursement</t>
  </si>
  <si>
    <t>Federal Lunch Reimbursement</t>
  </si>
  <si>
    <t>USDA Commodities</t>
  </si>
  <si>
    <t>Total Federal Revenues</t>
  </si>
  <si>
    <t>Payroll</t>
  </si>
  <si>
    <t>Contracted Services</t>
  </si>
  <si>
    <t>Supplies and Materials</t>
  </si>
  <si>
    <t>Other Operating Costs</t>
  </si>
  <si>
    <t>Debt Service Fund</t>
  </si>
  <si>
    <t>Current Property Tax Collections</t>
  </si>
  <si>
    <t>Delinquent Property Tax Collections</t>
  </si>
  <si>
    <t>Penalties and Interest</t>
  </si>
  <si>
    <t>Interest Earnings</t>
  </si>
  <si>
    <t>Principal on Bonds</t>
  </si>
  <si>
    <t>Interest on Bonds</t>
  </si>
  <si>
    <t>Other Debt Service Fees</t>
  </si>
  <si>
    <t>Current Tax Collections</t>
  </si>
  <si>
    <t>Delinquent Tax Collections</t>
  </si>
  <si>
    <t>Tuition and Fees Local Sources</t>
  </si>
  <si>
    <t>Rent</t>
  </si>
  <si>
    <t>Revenue from Foundations</t>
  </si>
  <si>
    <t>Insurance Recovery</t>
  </si>
  <si>
    <t>Athletic Activity</t>
  </si>
  <si>
    <t>Enterprising Services Revenue</t>
  </si>
  <si>
    <t>Cocurricular Enterprising Services</t>
  </si>
  <si>
    <t>Sale of Real Property</t>
  </si>
  <si>
    <t>Impact Aid</t>
  </si>
  <si>
    <t>Federal Rev Dist by State</t>
  </si>
  <si>
    <t>School Health Related Services</t>
  </si>
  <si>
    <t>Per Capita Apportionment</t>
  </si>
  <si>
    <t>Other Foundation Sch Prog Act</t>
  </si>
  <si>
    <t>General Fund</t>
  </si>
  <si>
    <t>Federal Revenues</t>
  </si>
  <si>
    <t>Federal Program Revenues</t>
  </si>
  <si>
    <t>Adopted Budget</t>
  </si>
  <si>
    <t>Over Expenditures</t>
  </si>
  <si>
    <t>81 - Facilities Acquisition &amp; Construction</t>
  </si>
  <si>
    <t>Projected Actual</t>
  </si>
  <si>
    <t>Net Change in Fund Balance</t>
  </si>
  <si>
    <t>Proceeds from Capital Leases</t>
  </si>
  <si>
    <t>71 - Debt Service</t>
  </si>
  <si>
    <t>6500 Debt Service</t>
  </si>
  <si>
    <t>Total Other Resources</t>
  </si>
  <si>
    <t>Foundation School Prog Revenue</t>
  </si>
  <si>
    <t>2016-17</t>
  </si>
  <si>
    <t>Operating Transfers In</t>
  </si>
  <si>
    <t>Total Function 71</t>
  </si>
  <si>
    <t>LHS SCOREBOARD</t>
  </si>
  <si>
    <t xml:space="preserve">Tax Appraisal &amp; Collections </t>
  </si>
  <si>
    <t>FY 2016-17</t>
  </si>
  <si>
    <t>FY 2017-18</t>
  </si>
  <si>
    <t>Change from</t>
  </si>
  <si>
    <t>Budget to</t>
  </si>
  <si>
    <t>FY 2018-19</t>
  </si>
  <si>
    <t>Excess (Deficiencies) of</t>
  </si>
  <si>
    <t>Revenues over Expenditures</t>
  </si>
  <si>
    <t>Other Federal Revenues</t>
  </si>
  <si>
    <t>Total Function 91</t>
  </si>
  <si>
    <t>Contracted Services Between Public Schools</t>
  </si>
  <si>
    <t>at 8/31/2018</t>
  </si>
  <si>
    <t>OUTSIDE OF PRINT RANGE</t>
  </si>
  <si>
    <t>Add to Accr</t>
  </si>
  <si>
    <t>Salary payable</t>
  </si>
  <si>
    <t>Cash Basis</t>
  </si>
  <si>
    <t>For The</t>
  </si>
  <si>
    <t>Fiscal Year</t>
  </si>
  <si>
    <t>Supporting Schedules For</t>
  </si>
  <si>
    <t>Other Financing Resources (Uses)</t>
  </si>
  <si>
    <t>51 - Maintenance</t>
  </si>
  <si>
    <t xml:space="preserve">65XX </t>
  </si>
  <si>
    <t xml:space="preserve">    Total Revenues</t>
  </si>
  <si>
    <t>Audited Actual</t>
  </si>
  <si>
    <t>Juvenile Justice Alternative Ed. Program</t>
  </si>
  <si>
    <t>Excess (Deficiencies) of Revenues</t>
  </si>
  <si>
    <t>Total Revenues and Other Resources</t>
  </si>
  <si>
    <t>Other Revenue from Local Sources</t>
  </si>
  <si>
    <t>Extracurricular Other than Athletics</t>
  </si>
  <si>
    <t>Misc. Rev. Intermediate Sources (JJAEP)</t>
  </si>
  <si>
    <t>Foundation School Program Revenue</t>
  </si>
  <si>
    <t>State Program Revenue Distr. by TEA</t>
  </si>
  <si>
    <t>Federal Revenue Distr. by TEA</t>
  </si>
  <si>
    <t>Federal Revenue Distr. by Federal Govt.</t>
  </si>
  <si>
    <t>91 - Contracted Services Between Public  Schools</t>
  </si>
  <si>
    <t>Excess (Deficiencies) of Revenues and</t>
  </si>
  <si>
    <t>95 - Juvenile Justice Alternative Ed. Program</t>
  </si>
  <si>
    <t>Added for SRO's approved by BOT 6/4/2018</t>
  </si>
  <si>
    <t>Add expected increase to Prop &amp; Casualty Insurance</t>
  </si>
  <si>
    <t>Adopted</t>
  </si>
  <si>
    <t>Adopted Tax Rate</t>
  </si>
  <si>
    <t>2019-20 Exp</t>
  </si>
  <si>
    <t>DRAFT Budget</t>
  </si>
  <si>
    <t>FY 2019-20</t>
  </si>
  <si>
    <t>2018-19 Adopted</t>
  </si>
  <si>
    <t>2019-20</t>
  </si>
  <si>
    <t>Add contingincy funds</t>
  </si>
  <si>
    <t xml:space="preserve"> Add amt for unlocated error in coding</t>
  </si>
  <si>
    <t>Add 7,500,000 for raises; move 3,799,834 to Func 36</t>
  </si>
  <si>
    <t>Total Increase by Percentage:</t>
  </si>
  <si>
    <t>MIKE,</t>
  </si>
  <si>
    <t xml:space="preserve">THIS TAB IS CALCULATED ON THE 2% ONLY </t>
  </si>
  <si>
    <t>FY 2020-21</t>
  </si>
  <si>
    <t>Item #</t>
  </si>
  <si>
    <t>Item#</t>
  </si>
  <si>
    <t>n/a</t>
  </si>
  <si>
    <t>2021-2022</t>
  </si>
  <si>
    <t>(Fiscal Year Ending August 31, 2022)</t>
  </si>
  <si>
    <t>FY 2021-22</t>
  </si>
  <si>
    <t>2021-22</t>
  </si>
  <si>
    <t xml:space="preserve">Audited </t>
  </si>
  <si>
    <t xml:space="preserve"> Budget</t>
  </si>
  <si>
    <t>91 - Contracted Instructional Services</t>
  </si>
  <si>
    <t>Contracted Instructional Services</t>
  </si>
  <si>
    <t>Audited                               Actual                               FY 2019-20</t>
  </si>
  <si>
    <t>Adopted                                  Budget              FY 2020-21</t>
  </si>
  <si>
    <t>Senate Bill 622 Requirement</t>
  </si>
  <si>
    <t>2020-2021</t>
  </si>
  <si>
    <t>Object Code 6491</t>
  </si>
  <si>
    <t>Statutorily Required Public Notice</t>
  </si>
  <si>
    <t>House Bill 1495 Requirement</t>
  </si>
  <si>
    <t xml:space="preserve">Directly or indirectly influencing or attempting to </t>
  </si>
  <si>
    <t>influence the outcome of legislation or administrative action</t>
  </si>
  <si>
    <t>Adopted                           Budget              FY 2021-22</t>
  </si>
  <si>
    <t xml:space="preserve">Change from        2020-21              to                      2021-22     </t>
  </si>
  <si>
    <t xml:space="preserve">2020-21 </t>
  </si>
  <si>
    <t>Adopted Budget for the Fiscal Year Ending August 31, 2022</t>
  </si>
  <si>
    <t>Adopted  by Board of School Trustees</t>
  </si>
  <si>
    <t xml:space="preserve">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</si>
</sst>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%\ ;\(0.00%\)"/>
    <numFmt numFmtId="167" formatCode="_(* #,##0_);_(* \(#,##0\);_(* &quot;-&quot;??_);_(@_)"/>
    <numFmt numFmtId="168" formatCode="_(* #,##0.000000_);_(* \(#,##0.000000\);_(* &quot;-&quot;??_);_(@_)"/>
    <numFmt numFmtId="169" formatCode="0.00000"/>
    <numFmt numFmtId="170" formatCode="mmmm\ d\,\ yyyy"/>
    <numFmt numFmtId="171" formatCode="_(&quot;$&quot;* #,##0.00000_);_(&quot;$&quot;* \(#,##0.00000\);_(&quot;$&quot;* &quot;-&quot;?????_);_(@_)"/>
    <numFmt numFmtId="172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rgb="FFFF00FF"/>
        <bgColor indexed="64"/>
      </patternFill>
    </fill>
    <fill>
      <patternFill patternType="solid">
        <fgColor rgb="FF33CC3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6" fillId="3" borderId="0"/>
  </cellStyleXfs>
  <cellXfs count="397">
    <xf numFmtId="0" fontId="0" fillId="0" borderId="0" xfId="0"/>
    <xf numFmtId="0" fontId="3" fillId="0" borderId="0" xfId="3"/>
    <xf numFmtId="0" fontId="5" fillId="0" borderId="0" xfId="3" applyFont="1" applyFill="1"/>
    <xf numFmtId="0" fontId="5" fillId="0" borderId="0" xfId="3" applyFont="1" applyFill="1" applyAlignment="1">
      <alignment horizontal="center"/>
    </xf>
    <xf numFmtId="6" fontId="3" fillId="0" borderId="0" xfId="3" applyNumberFormat="1" applyFill="1"/>
    <xf numFmtId="0" fontId="4" fillId="0" borderId="0" xfId="3" applyFont="1" applyFill="1"/>
    <xf numFmtId="38" fontId="4" fillId="0" borderId="0" xfId="3" applyNumberFormat="1" applyFont="1" applyFill="1"/>
    <xf numFmtId="6" fontId="4" fillId="0" borderId="0" xfId="3" applyNumberFormat="1" applyFont="1" applyFill="1"/>
    <xf numFmtId="0" fontId="6" fillId="0" borderId="0" xfId="3" applyFont="1" applyFill="1" applyAlignment="1"/>
    <xf numFmtId="0" fontId="6" fillId="0" borderId="0" xfId="3" applyFont="1" applyFill="1"/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left"/>
    </xf>
    <xf numFmtId="41" fontId="4" fillId="0" borderId="0" xfId="3" applyNumberFormat="1" applyFont="1" applyFill="1"/>
    <xf numFmtId="41" fontId="4" fillId="0" borderId="0" xfId="3" applyNumberFormat="1" applyFont="1" applyFill="1" applyAlignment="1">
      <alignment horizontal="right"/>
    </xf>
    <xf numFmtId="0" fontId="5" fillId="0" borderId="0" xfId="3" applyFont="1" applyFill="1" applyBorder="1"/>
    <xf numFmtId="5" fontId="4" fillId="0" borderId="0" xfId="3" applyNumberFormat="1" applyFont="1" applyFill="1" applyBorder="1"/>
    <xf numFmtId="0" fontId="6" fillId="0" borderId="0" xfId="3" applyFont="1" applyFill="1" applyBorder="1" applyAlignment="1"/>
    <xf numFmtId="0" fontId="3" fillId="0" borderId="0" xfId="3" applyFill="1" applyAlignment="1">
      <alignment textRotation="45"/>
    </xf>
    <xf numFmtId="0" fontId="0" fillId="0" borderId="0" xfId="0"/>
    <xf numFmtId="10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Border="1" applyAlignment="1">
      <alignment horizontal="right"/>
    </xf>
    <xf numFmtId="2" fontId="7" fillId="0" borderId="0" xfId="47" applyNumberFormat="1" applyFont="1" applyFill="1" applyAlignment="1">
      <alignment horizontal="center"/>
    </xf>
    <xf numFmtId="2" fontId="7" fillId="0" borderId="1" xfId="47" applyNumberFormat="1" applyFont="1" applyFill="1" applyBorder="1" applyAlignment="1">
      <alignment horizontal="center"/>
    </xf>
    <xf numFmtId="2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/>
    <xf numFmtId="0" fontId="0" fillId="0" borderId="0" xfId="0" applyFill="1"/>
    <xf numFmtId="41" fontId="4" fillId="0" borderId="0" xfId="15" applyNumberFormat="1" applyFont="1" applyFill="1" applyAlignment="1">
      <alignment horizontal="right"/>
    </xf>
    <xf numFmtId="0" fontId="9" fillId="0" borderId="0" xfId="0" applyFont="1"/>
    <xf numFmtId="167" fontId="9" fillId="0" borderId="0" xfId="1" applyNumberFormat="1" applyFont="1"/>
    <xf numFmtId="167" fontId="9" fillId="0" borderId="0" xfId="1" applyNumberFormat="1" applyFont="1" applyFill="1"/>
    <xf numFmtId="6" fontId="5" fillId="0" borderId="0" xfId="3" applyNumberFormat="1" applyFont="1" applyFill="1" applyBorder="1" applyAlignment="1">
      <alignment horizontal="center"/>
    </xf>
    <xf numFmtId="0" fontId="5" fillId="0" borderId="0" xfId="3" applyFont="1" applyFill="1" applyAlignment="1">
      <alignment horizontal="left"/>
    </xf>
    <xf numFmtId="0" fontId="0" fillId="0" borderId="0" xfId="0" applyBorder="1"/>
    <xf numFmtId="165" fontId="4" fillId="0" borderId="4" xfId="2" applyNumberFormat="1" applyFont="1" applyFill="1" applyBorder="1"/>
    <xf numFmtId="3" fontId="5" fillId="0" borderId="0" xfId="47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3" fillId="0" borderId="0" xfId="3" applyFill="1"/>
    <xf numFmtId="165" fontId="3" fillId="0" borderId="0" xfId="2" applyNumberFormat="1" applyFont="1" applyFill="1"/>
    <xf numFmtId="167" fontId="9" fillId="0" borderId="0" xfId="1" applyNumberFormat="1" applyFont="1"/>
    <xf numFmtId="6" fontId="5" fillId="0" borderId="0" xfId="3" applyNumberFormat="1" applyFont="1" applyFill="1" applyAlignment="1">
      <alignment horizontal="right"/>
    </xf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6" fontId="5" fillId="0" borderId="1" xfId="3" applyNumberFormat="1" applyFont="1" applyFill="1" applyBorder="1" applyAlignment="1">
      <alignment horizontal="center"/>
    </xf>
    <xf numFmtId="38" fontId="5" fillId="0" borderId="0" xfId="3" applyNumberFormat="1" applyFont="1" applyFill="1" applyBorder="1" applyAlignment="1">
      <alignment horizontal="right"/>
    </xf>
    <xf numFmtId="167" fontId="3" fillId="0" borderId="0" xfId="1" applyNumberFormat="1" applyFont="1" applyFill="1"/>
    <xf numFmtId="0" fontId="0" fillId="0" borderId="0" xfId="0"/>
    <xf numFmtId="10" fontId="0" fillId="0" borderId="0" xfId="57" applyNumberFormat="1" applyFont="1"/>
    <xf numFmtId="10" fontId="4" fillId="0" borderId="0" xfId="57" applyNumberFormat="1" applyFont="1" applyFill="1"/>
    <xf numFmtId="0" fontId="0" fillId="0" borderId="3" xfId="0" applyBorder="1"/>
    <xf numFmtId="0" fontId="5" fillId="0" borderId="1" xfId="3" applyFont="1" applyFill="1" applyBorder="1" applyAlignment="1">
      <alignment horizontal="center"/>
    </xf>
    <xf numFmtId="38" fontId="5" fillId="0" borderId="1" xfId="3" applyNumberFormat="1" applyFont="1" applyFill="1" applyBorder="1" applyAlignment="1">
      <alignment horizontal="center"/>
    </xf>
    <xf numFmtId="168" fontId="0" fillId="0" borderId="0" xfId="0" applyNumberFormat="1"/>
    <xf numFmtId="167" fontId="10" fillId="0" borderId="0" xfId="1" applyNumberFormat="1" applyFont="1" applyFill="1"/>
    <xf numFmtId="0" fontId="2" fillId="0" borderId="0" xfId="0" applyFont="1" applyFill="1" applyAlignment="1">
      <alignment horizontal="center"/>
    </xf>
    <xf numFmtId="41" fontId="3" fillId="0" borderId="0" xfId="3" applyNumberFormat="1" applyFont="1" applyFill="1"/>
    <xf numFmtId="42" fontId="10" fillId="0" borderId="0" xfId="1" applyNumberFormat="1" applyFont="1" applyFill="1"/>
    <xf numFmtId="0" fontId="6" fillId="0" borderId="0" xfId="3" applyFont="1" applyFill="1" applyAlignment="1">
      <alignment horizontal="center"/>
    </xf>
    <xf numFmtId="167" fontId="3" fillId="0" borderId="3" xfId="1" applyNumberFormat="1" applyFont="1" applyFill="1" applyBorder="1"/>
    <xf numFmtId="0" fontId="9" fillId="0" borderId="0" xfId="0" applyFont="1" applyFill="1"/>
    <xf numFmtId="167" fontId="11" fillId="0" borderId="0" xfId="1" applyNumberFormat="1" applyFont="1" applyFill="1"/>
    <xf numFmtId="0" fontId="11" fillId="0" borderId="0" xfId="0" applyFont="1" applyFill="1"/>
    <xf numFmtId="6" fontId="3" fillId="0" borderId="0" xfId="3" applyNumberFormat="1" applyFont="1" applyFill="1"/>
    <xf numFmtId="0" fontId="3" fillId="0" borderId="0" xfId="3" applyFont="1" applyFill="1" applyAlignment="1">
      <alignment horizontal="left" indent="1"/>
    </xf>
    <xf numFmtId="37" fontId="9" fillId="0" borderId="0" xfId="0" applyNumberFormat="1" applyFont="1"/>
    <xf numFmtId="0" fontId="12" fillId="0" borderId="0" xfId="0" applyFont="1"/>
    <xf numFmtId="0" fontId="13" fillId="0" borderId="0" xfId="0" applyFont="1"/>
    <xf numFmtId="37" fontId="0" fillId="0" borderId="0" xfId="0" applyNumberFormat="1"/>
    <xf numFmtId="167" fontId="14" fillId="0" borderId="0" xfId="1" applyNumberFormat="1" applyFont="1" applyFill="1"/>
    <xf numFmtId="38" fontId="3" fillId="0" borderId="0" xfId="3" applyNumberFormat="1" applyFont="1" applyFill="1" applyBorder="1"/>
    <xf numFmtId="6" fontId="3" fillId="0" borderId="0" xfId="3" applyNumberFormat="1" applyFont="1" applyFill="1" applyBorder="1"/>
    <xf numFmtId="38" fontId="3" fillId="0" borderId="0" xfId="3" applyNumberFormat="1" applyFont="1" applyFill="1"/>
    <xf numFmtId="0" fontId="3" fillId="0" borderId="0" xfId="3" applyFont="1" applyFill="1"/>
    <xf numFmtId="167" fontId="3" fillId="0" borderId="0" xfId="4" applyNumberFormat="1" applyFont="1" applyFill="1"/>
    <xf numFmtId="38" fontId="3" fillId="0" borderId="3" xfId="3" applyNumberFormat="1" applyFont="1" applyFill="1" applyBorder="1"/>
    <xf numFmtId="167" fontId="3" fillId="0" borderId="0" xfId="1" applyNumberFormat="1" applyFont="1" applyFill="1" applyBorder="1"/>
    <xf numFmtId="41" fontId="3" fillId="0" borderId="1" xfId="3" applyNumberFormat="1" applyFont="1" applyFill="1" applyBorder="1"/>
    <xf numFmtId="41" fontId="3" fillId="0" borderId="3" xfId="3" applyNumberFormat="1" applyFont="1" applyFill="1" applyBorder="1"/>
    <xf numFmtId="41" fontId="3" fillId="0" borderId="1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41" fontId="3" fillId="0" borderId="0" xfId="3" applyNumberFormat="1" applyFont="1" applyFill="1" applyBorder="1"/>
    <xf numFmtId="165" fontId="3" fillId="0" borderId="2" xfId="2" applyNumberFormat="1" applyFont="1" applyFill="1" applyBorder="1"/>
    <xf numFmtId="41" fontId="3" fillId="0" borderId="0" xfId="15" applyNumberFormat="1" applyFont="1" applyFill="1" applyAlignment="1">
      <alignment horizontal="right"/>
    </xf>
    <xf numFmtId="165" fontId="3" fillId="0" borderId="4" xfId="2" applyNumberFormat="1" applyFont="1" applyFill="1" applyBorder="1"/>
    <xf numFmtId="5" fontId="3" fillId="0" borderId="0" xfId="3" applyNumberFormat="1" applyFont="1" applyFill="1" applyBorder="1"/>
    <xf numFmtId="0" fontId="10" fillId="0" borderId="0" xfId="0" applyFont="1"/>
    <xf numFmtId="0" fontId="10" fillId="0" borderId="0" xfId="0" applyFont="1" applyFill="1"/>
    <xf numFmtId="165" fontId="3" fillId="0" borderId="0" xfId="2" applyNumberFormat="1" applyFont="1" applyFill="1" applyBorder="1"/>
    <xf numFmtId="0" fontId="15" fillId="0" borderId="0" xfId="0" applyFont="1" applyFill="1" applyAlignment="1">
      <alignment horizontal="center"/>
    </xf>
    <xf numFmtId="41" fontId="10" fillId="0" borderId="0" xfId="0" applyNumberFormat="1" applyFont="1" applyFill="1"/>
    <xf numFmtId="0" fontId="14" fillId="0" borderId="0" xfId="0" applyFont="1"/>
    <xf numFmtId="167" fontId="14" fillId="0" borderId="0" xfId="1" applyNumberFormat="1" applyFont="1"/>
    <xf numFmtId="165" fontId="14" fillId="0" borderId="0" xfId="2" applyNumberFormat="1" applyFont="1" applyFill="1" applyBorder="1"/>
    <xf numFmtId="0" fontId="14" fillId="0" borderId="0" xfId="0" applyFont="1" applyAlignment="1">
      <alignment horizontal="right"/>
    </xf>
    <xf numFmtId="165" fontId="14" fillId="0" borderId="0" xfId="2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37" fontId="9" fillId="0" borderId="5" xfId="0" applyNumberFormat="1" applyFont="1" applyBorder="1"/>
    <xf numFmtId="37" fontId="9" fillId="0" borderId="6" xfId="0" applyNumberFormat="1" applyFont="1" applyBorder="1"/>
    <xf numFmtId="37" fontId="9" fillId="0" borderId="7" xfId="0" applyNumberFormat="1" applyFont="1" applyBorder="1"/>
    <xf numFmtId="42" fontId="3" fillId="0" borderId="2" xfId="3" applyNumberFormat="1" applyFont="1" applyFill="1" applyBorder="1" applyAlignment="1">
      <alignment horizontal="right"/>
    </xf>
    <xf numFmtId="0" fontId="16" fillId="3" borderId="0" xfId="66" applyNumberFormat="1" applyFill="1"/>
    <xf numFmtId="0" fontId="16" fillId="3" borderId="8" xfId="66" applyNumberFormat="1" applyFill="1" applyBorder="1"/>
    <xf numFmtId="0" fontId="16" fillId="3" borderId="9" xfId="66" applyNumberFormat="1" applyFill="1" applyBorder="1"/>
    <xf numFmtId="0" fontId="16" fillId="3" borderId="10" xfId="66" applyNumberFormat="1" applyFill="1" applyBorder="1"/>
    <xf numFmtId="0" fontId="16" fillId="3" borderId="0" xfId="66" applyNumberFormat="1" applyFill="1" applyBorder="1"/>
    <xf numFmtId="0" fontId="16" fillId="3" borderId="11" xfId="66" applyNumberFormat="1" applyFill="1" applyBorder="1"/>
    <xf numFmtId="0" fontId="16" fillId="3" borderId="12" xfId="66" applyNumberFormat="1" applyFill="1" applyBorder="1"/>
    <xf numFmtId="0" fontId="17" fillId="4" borderId="11" xfId="66" applyNumberFormat="1" applyFont="1" applyFill="1" applyBorder="1"/>
    <xf numFmtId="0" fontId="17" fillId="4" borderId="0" xfId="66" applyNumberFormat="1" applyFont="1" applyFill="1" applyBorder="1"/>
    <xf numFmtId="0" fontId="18" fillId="4" borderId="0" xfId="66" applyNumberFormat="1" applyFont="1" applyFill="1" applyBorder="1" applyAlignment="1">
      <alignment horizontal="centerContinuous"/>
    </xf>
    <xf numFmtId="0" fontId="17" fillId="4" borderId="0" xfId="66" applyNumberFormat="1" applyFont="1" applyFill="1" applyBorder="1" applyAlignment="1">
      <alignment horizontal="centerContinuous"/>
    </xf>
    <xf numFmtId="0" fontId="19" fillId="4" borderId="11" xfId="66" applyNumberFormat="1" applyFont="1" applyFill="1" applyBorder="1" applyAlignment="1">
      <alignment horizontal="centerContinuous"/>
    </xf>
    <xf numFmtId="0" fontId="18" fillId="4" borderId="11" xfId="66" applyNumberFormat="1" applyFont="1" applyFill="1" applyBorder="1" applyAlignment="1">
      <alignment horizontal="centerContinuous"/>
    </xf>
    <xf numFmtId="0" fontId="18" fillId="4" borderId="13" xfId="66" applyNumberFormat="1" applyFont="1" applyFill="1" applyBorder="1" applyAlignment="1">
      <alignment horizontal="centerContinuous"/>
    </xf>
    <xf numFmtId="0" fontId="18" fillId="4" borderId="14" xfId="66" applyNumberFormat="1" applyFont="1" applyFill="1" applyBorder="1" applyAlignment="1">
      <alignment horizontal="centerContinuous"/>
    </xf>
    <xf numFmtId="0" fontId="17" fillId="4" borderId="14" xfId="66" applyNumberFormat="1" applyFont="1" applyFill="1" applyBorder="1" applyAlignment="1">
      <alignment horizontal="centerContinuous"/>
    </xf>
    <xf numFmtId="0" fontId="16" fillId="3" borderId="15" xfId="66" applyNumberFormat="1" applyFill="1" applyBorder="1"/>
    <xf numFmtId="0" fontId="18" fillId="3" borderId="0" xfId="66" applyNumberFormat="1" applyFont="1" applyFill="1" applyAlignment="1">
      <alignment horizontal="centerContinuous"/>
    </xf>
    <xf numFmtId="0" fontId="17" fillId="3" borderId="0" xfId="66" applyNumberFormat="1" applyFont="1" applyFill="1" applyAlignment="1">
      <alignment horizontal="centerContinuous"/>
    </xf>
    <xf numFmtId="0" fontId="17" fillId="3" borderId="0" xfId="66" applyNumberFormat="1" applyFont="1" applyFill="1" applyBorder="1" applyAlignment="1">
      <alignment horizontal="centerContinuous"/>
    </xf>
    <xf numFmtId="0" fontId="17" fillId="4" borderId="8" xfId="66" applyNumberFormat="1" applyFont="1" applyFill="1" applyBorder="1"/>
    <xf numFmtId="0" fontId="17" fillId="4" borderId="9" xfId="66" applyNumberFormat="1" applyFont="1" applyFill="1" applyBorder="1"/>
    <xf numFmtId="0" fontId="20" fillId="4" borderId="11" xfId="66" applyNumberFormat="1" applyFont="1" applyFill="1" applyBorder="1" applyAlignment="1">
      <alignment horizontal="centerContinuous"/>
    </xf>
    <xf numFmtId="0" fontId="17" fillId="4" borderId="11" xfId="66" applyNumberFormat="1" applyFont="1" applyFill="1" applyBorder="1" applyAlignment="1">
      <alignment horizontal="centerContinuous"/>
    </xf>
    <xf numFmtId="0" fontId="17" fillId="3" borderId="11" xfId="66" applyNumberFormat="1" applyFont="1" applyFill="1" applyBorder="1" applyAlignment="1">
      <alignment horizontal="centerContinuous"/>
    </xf>
    <xf numFmtId="0" fontId="17" fillId="3" borderId="13" xfId="66" applyNumberFormat="1" applyFont="1" applyFill="1" applyBorder="1" applyAlignment="1">
      <alignment horizontal="centerContinuous"/>
    </xf>
    <xf numFmtId="0" fontId="17" fillId="3" borderId="14" xfId="66" applyNumberFormat="1" applyFont="1" applyFill="1" applyBorder="1" applyAlignment="1">
      <alignment horizontal="centerContinuous"/>
    </xf>
    <xf numFmtId="0" fontId="17" fillId="4" borderId="0" xfId="66" applyNumberFormat="1" applyFont="1" applyFill="1" applyAlignment="1">
      <alignment horizontal="centerContinuous"/>
    </xf>
    <xf numFmtId="0" fontId="17" fillId="4" borderId="8" xfId="66" applyNumberFormat="1" applyFont="1" applyFill="1" applyBorder="1" applyAlignment="1">
      <alignment horizontal="centerContinuous"/>
    </xf>
    <xf numFmtId="0" fontId="17" fillId="4" borderId="9" xfId="66" applyNumberFormat="1" applyFont="1" applyFill="1" applyBorder="1" applyAlignment="1">
      <alignment horizontal="centerContinuous"/>
    </xf>
    <xf numFmtId="0" fontId="21" fillId="4" borderId="11" xfId="66" applyNumberFormat="1" applyFont="1" applyFill="1" applyBorder="1" applyAlignment="1">
      <alignment horizontal="centerContinuous"/>
    </xf>
    <xf numFmtId="170" fontId="21" fillId="4" borderId="11" xfId="66" applyNumberFormat="1" applyFont="1" applyFill="1" applyBorder="1" applyAlignment="1">
      <alignment horizontal="centerContinuous"/>
    </xf>
    <xf numFmtId="0" fontId="18" fillId="4" borderId="0" xfId="66" applyNumberFormat="1" applyFont="1" applyFill="1" applyAlignment="1">
      <alignment horizontal="centerContinuous"/>
    </xf>
    <xf numFmtId="0" fontId="18" fillId="3" borderId="0" xfId="66" applyNumberFormat="1" applyFont="1" applyFill="1"/>
    <xf numFmtId="38" fontId="5" fillId="0" borderId="0" xfId="3" applyNumberFormat="1" applyFont="1" applyFill="1" applyAlignment="1">
      <alignment horizontal="center"/>
    </xf>
    <xf numFmtId="167" fontId="15" fillId="0" borderId="0" xfId="1" applyNumberFormat="1" applyFont="1" applyFill="1"/>
    <xf numFmtId="167" fontId="15" fillId="0" borderId="0" xfId="1" applyNumberFormat="1" applyFont="1" applyFill="1" applyAlignment="1">
      <alignment horizontal="center"/>
    </xf>
    <xf numFmtId="167" fontId="15" fillId="0" borderId="0" xfId="1" applyNumberFormat="1" applyFont="1" applyFill="1" applyAlignment="1">
      <alignment horizontal="center" wrapText="1"/>
    </xf>
    <xf numFmtId="0" fontId="15" fillId="0" borderId="0" xfId="0" applyFont="1"/>
    <xf numFmtId="167" fontId="10" fillId="0" borderId="0" xfId="1" applyNumberFormat="1" applyFont="1"/>
    <xf numFmtId="165" fontId="10" fillId="0" borderId="0" xfId="2" applyNumberFormat="1" applyFont="1" applyFill="1"/>
    <xf numFmtId="165" fontId="10" fillId="0" borderId="0" xfId="2" applyNumberFormat="1" applyFont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165" fontId="10" fillId="0" borderId="4" xfId="2" applyNumberFormat="1" applyFont="1" applyFill="1" applyBorder="1"/>
    <xf numFmtId="0" fontId="23" fillId="0" borderId="0" xfId="0" applyFont="1"/>
    <xf numFmtId="167" fontId="23" fillId="0" borderId="0" xfId="1" applyNumberFormat="1" applyFont="1"/>
    <xf numFmtId="0" fontId="22" fillId="0" borderId="0" xfId="0" applyFont="1"/>
    <xf numFmtId="0" fontId="22" fillId="0" borderId="0" xfId="0" applyFont="1" applyFill="1"/>
    <xf numFmtId="0" fontId="22" fillId="0" borderId="0" xfId="0" applyFont="1" applyBorder="1"/>
    <xf numFmtId="3" fontId="24" fillId="0" borderId="0" xfId="47" applyNumberFormat="1" applyFont="1" applyFill="1" applyAlignment="1">
      <alignment horizontal="center"/>
    </xf>
    <xf numFmtId="3" fontId="24" fillId="0" borderId="0" xfId="47" applyNumberFormat="1" applyFont="1" applyFill="1" applyBorder="1" applyAlignment="1">
      <alignment horizontal="center"/>
    </xf>
    <xf numFmtId="2" fontId="24" fillId="0" borderId="0" xfId="47" applyNumberFormat="1" applyFont="1" applyFill="1" applyAlignment="1">
      <alignment horizontal="center"/>
    </xf>
    <xf numFmtId="2" fontId="24" fillId="0" borderId="0" xfId="47" applyNumberFormat="1" applyFont="1" applyFill="1" applyBorder="1" applyAlignment="1">
      <alignment horizontal="center"/>
    </xf>
    <xf numFmtId="49" fontId="26" fillId="0" borderId="0" xfId="47" applyNumberFormat="1" applyFont="1" applyFill="1"/>
    <xf numFmtId="0" fontId="24" fillId="0" borderId="0" xfId="47" applyFont="1" applyFill="1" applyAlignment="1">
      <alignment horizontal="center"/>
    </xf>
    <xf numFmtId="0" fontId="24" fillId="0" borderId="0" xfId="47" applyFont="1" applyFill="1" applyBorder="1" applyAlignment="1">
      <alignment horizontal="center"/>
    </xf>
    <xf numFmtId="49" fontId="24" fillId="0" borderId="0" xfId="47" applyNumberFormat="1" applyFont="1" applyFill="1" applyAlignment="1">
      <alignment horizontal="center"/>
    </xf>
    <xf numFmtId="0" fontId="24" fillId="0" borderId="1" xfId="47" applyFont="1" applyFill="1" applyBorder="1" applyAlignment="1">
      <alignment horizontal="center"/>
    </xf>
    <xf numFmtId="2" fontId="24" fillId="0" borderId="1" xfId="47" applyNumberFormat="1" applyFont="1" applyFill="1" applyBorder="1" applyAlignment="1">
      <alignment horizontal="center"/>
    </xf>
    <xf numFmtId="49" fontId="24" fillId="0" borderId="1" xfId="47" applyNumberFormat="1" applyFont="1" applyFill="1" applyBorder="1" applyAlignment="1">
      <alignment horizontal="center"/>
    </xf>
    <xf numFmtId="0" fontId="24" fillId="0" borderId="0" xfId="47" applyFont="1" applyFill="1"/>
    <xf numFmtId="0" fontId="26" fillId="0" borderId="0" xfId="47" applyFont="1" applyFill="1" applyAlignment="1">
      <alignment horizontal="center"/>
    </xf>
    <xf numFmtId="0" fontId="26" fillId="0" borderId="0" xfId="47" applyFont="1" applyFill="1" applyBorder="1" applyAlignment="1">
      <alignment horizontal="center"/>
    </xf>
    <xf numFmtId="2" fontId="26" fillId="0" borderId="0" xfId="47" applyNumberFormat="1" applyFont="1" applyFill="1" applyAlignment="1">
      <alignment horizontal="center"/>
    </xf>
    <xf numFmtId="2" fontId="26" fillId="0" borderId="0" xfId="47" applyNumberFormat="1" applyFont="1" applyFill="1" applyBorder="1" applyAlignment="1">
      <alignment horizontal="center"/>
    </xf>
    <xf numFmtId="49" fontId="26" fillId="0" borderId="0" xfId="47" applyNumberFormat="1" applyFont="1" applyFill="1" applyAlignment="1">
      <alignment horizontal="center"/>
    </xf>
    <xf numFmtId="0" fontId="26" fillId="0" borderId="0" xfId="47" applyFont="1" applyFill="1"/>
    <xf numFmtId="42" fontId="26" fillId="0" borderId="0" xfId="0" applyNumberFormat="1" applyFont="1" applyFill="1" applyAlignment="1">
      <alignment horizontal="right"/>
    </xf>
    <xf numFmtId="42" fontId="26" fillId="0" borderId="0" xfId="47" applyNumberFormat="1" applyFont="1" applyFill="1" applyAlignment="1">
      <alignment horizontal="right"/>
    </xf>
    <xf numFmtId="164" fontId="26" fillId="0" borderId="0" xfId="47" applyNumberFormat="1" applyFont="1" applyFill="1" applyBorder="1" applyAlignment="1">
      <alignment horizontal="right"/>
    </xf>
    <xf numFmtId="166" fontId="26" fillId="0" borderId="0" xfId="47" applyNumberFormat="1" applyFont="1" applyFill="1" applyAlignment="1">
      <alignment horizontal="right"/>
    </xf>
    <xf numFmtId="166" fontId="26" fillId="0" borderId="0" xfId="47" applyNumberFormat="1" applyFont="1" applyFill="1" applyBorder="1" applyAlignment="1">
      <alignment horizontal="right"/>
    </xf>
    <xf numFmtId="10" fontId="26" fillId="0" borderId="0" xfId="47" applyNumberFormat="1" applyFont="1" applyFill="1" applyAlignment="1">
      <alignment horizontal="right"/>
    </xf>
    <xf numFmtId="41" fontId="26" fillId="0" borderId="0" xfId="0" applyNumberFormat="1" applyFont="1" applyFill="1" applyAlignment="1">
      <alignment horizontal="right"/>
    </xf>
    <xf numFmtId="41" fontId="26" fillId="0" borderId="0" xfId="47" applyNumberFormat="1" applyFont="1" applyFill="1" applyAlignment="1">
      <alignment horizontal="right"/>
    </xf>
    <xf numFmtId="10" fontId="26" fillId="0" borderId="0" xfId="57" applyNumberFormat="1" applyFont="1" applyFill="1" applyBorder="1" applyAlignment="1">
      <alignment horizontal="right"/>
    </xf>
    <xf numFmtId="41" fontId="26" fillId="0" borderId="0" xfId="1" applyNumberFormat="1" applyFont="1" applyFill="1" applyAlignment="1">
      <alignment horizontal="right"/>
    </xf>
    <xf numFmtId="41" fontId="26" fillId="0" borderId="3" xfId="47" applyNumberFormat="1" applyFont="1" applyFill="1" applyBorder="1" applyAlignment="1">
      <alignment horizontal="right"/>
    </xf>
    <xf numFmtId="41" fontId="26" fillId="0" borderId="0" xfId="47" applyNumberFormat="1" applyFont="1" applyFill="1" applyBorder="1" applyAlignment="1">
      <alignment horizontal="right"/>
    </xf>
    <xf numFmtId="166" fontId="26" fillId="0" borderId="3" xfId="47" applyNumberFormat="1" applyFont="1" applyFill="1" applyBorder="1" applyAlignment="1">
      <alignment horizontal="right"/>
    </xf>
    <xf numFmtId="10" fontId="26" fillId="0" borderId="3" xfId="47" applyNumberFormat="1" applyFont="1" applyFill="1" applyBorder="1" applyAlignment="1">
      <alignment horizontal="right"/>
    </xf>
    <xf numFmtId="10" fontId="26" fillId="0" borderId="0" xfId="47" applyNumberFormat="1" applyFont="1" applyFill="1" applyBorder="1" applyAlignment="1">
      <alignment horizontal="right"/>
    </xf>
    <xf numFmtId="41" fontId="26" fillId="0" borderId="0" xfId="47" applyNumberFormat="1" applyFont="1" applyFill="1" applyAlignment="1">
      <alignment horizontal="center"/>
    </xf>
    <xf numFmtId="0" fontId="24" fillId="0" borderId="0" xfId="47" applyFont="1" applyFill="1" applyBorder="1"/>
    <xf numFmtId="0" fontId="26" fillId="0" borderId="0" xfId="47" applyFont="1" applyFill="1" applyBorder="1"/>
    <xf numFmtId="41" fontId="26" fillId="0" borderId="0" xfId="47" applyNumberFormat="1" applyFont="1" applyFill="1"/>
    <xf numFmtId="3" fontId="26" fillId="0" borderId="0" xfId="47" applyNumberFormat="1" applyFont="1" applyFill="1" applyBorder="1"/>
    <xf numFmtId="41" fontId="26" fillId="0" borderId="3" xfId="47" applyNumberFormat="1" applyFont="1" applyFill="1" applyBorder="1"/>
    <xf numFmtId="41" fontId="26" fillId="0" borderId="0" xfId="47" applyNumberFormat="1" applyFont="1" applyFill="1" applyBorder="1"/>
    <xf numFmtId="166" fontId="26" fillId="0" borderId="0" xfId="47" applyNumberFormat="1" applyFont="1" applyFill="1" applyAlignment="1">
      <alignment horizontal="center"/>
    </xf>
    <xf numFmtId="166" fontId="26" fillId="0" borderId="0" xfId="47" applyNumberFormat="1" applyFont="1" applyFill="1" applyBorder="1" applyAlignment="1">
      <alignment horizontal="center"/>
    </xf>
    <xf numFmtId="10" fontId="26" fillId="0" borderId="0" xfId="47" applyNumberFormat="1" applyFont="1" applyFill="1" applyAlignment="1">
      <alignment horizontal="center"/>
    </xf>
    <xf numFmtId="3" fontId="26" fillId="0" borderId="0" xfId="47" applyNumberFormat="1" applyFont="1" applyFill="1" applyBorder="1" applyAlignment="1">
      <alignment horizontal="right"/>
    </xf>
    <xf numFmtId="3" fontId="24" fillId="0" borderId="1" xfId="47" applyNumberFormat="1" applyFont="1" applyFill="1" applyBorder="1" applyAlignment="1">
      <alignment horizontal="center"/>
    </xf>
    <xf numFmtId="41" fontId="26" fillId="0" borderId="0" xfId="47" applyNumberFormat="1" applyFont="1" applyFill="1" applyBorder="1" applyAlignment="1">
      <alignment horizontal="center"/>
    </xf>
    <xf numFmtId="166" fontId="26" fillId="0" borderId="0" xfId="47" applyNumberFormat="1" applyFont="1" applyFill="1"/>
    <xf numFmtId="166" fontId="26" fillId="0" borderId="0" xfId="47" applyNumberFormat="1" applyFont="1" applyFill="1" applyBorder="1"/>
    <xf numFmtId="10" fontId="26" fillId="0" borderId="0" xfId="47" applyNumberFormat="1" applyFont="1" applyFill="1"/>
    <xf numFmtId="0" fontId="3" fillId="0" borderId="0" xfId="47" applyFont="1" applyBorder="1"/>
    <xf numFmtId="10" fontId="24" fillId="0" borderId="0" xfId="47" applyNumberFormat="1" applyFont="1" applyFill="1" applyBorder="1" applyAlignment="1">
      <alignment horizontal="center"/>
    </xf>
    <xf numFmtId="0" fontId="26" fillId="0" borderId="0" xfId="47" applyFont="1" applyFill="1" applyBorder="1" applyAlignment="1">
      <alignment horizontal="right"/>
    </xf>
    <xf numFmtId="42" fontId="26" fillId="0" borderId="2" xfId="2" applyNumberFormat="1" applyFont="1" applyFill="1" applyBorder="1" applyAlignment="1">
      <alignment horizontal="right"/>
    </xf>
    <xf numFmtId="42" fontId="26" fillId="0" borderId="0" xfId="47" applyNumberFormat="1" applyFont="1" applyFill="1" applyBorder="1" applyAlignment="1">
      <alignment horizontal="right"/>
    </xf>
    <xf numFmtId="166" fontId="26" fillId="0" borderId="2" xfId="47" applyNumberFormat="1" applyFont="1" applyFill="1" applyBorder="1" applyAlignment="1">
      <alignment horizontal="right"/>
    </xf>
    <xf numFmtId="10" fontId="26" fillId="0" borderId="2" xfId="47" applyNumberFormat="1" applyFont="1" applyFill="1" applyBorder="1" applyAlignment="1">
      <alignment horizontal="right"/>
    </xf>
    <xf numFmtId="0" fontId="3" fillId="0" borderId="0" xfId="47" applyFont="1" applyFill="1" applyBorder="1"/>
    <xf numFmtId="0" fontId="14" fillId="0" borderId="0" xfId="0" applyFont="1" applyFill="1"/>
    <xf numFmtId="0" fontId="14" fillId="0" borderId="0" xfId="0" applyFont="1" applyBorder="1"/>
    <xf numFmtId="0" fontId="26" fillId="0" borderId="0" xfId="47" applyFont="1"/>
    <xf numFmtId="0" fontId="26" fillId="0" borderId="0" xfId="47" applyFont="1" applyBorder="1"/>
    <xf numFmtId="0" fontId="24" fillId="0" borderId="0" xfId="51" applyFont="1" applyAlignment="1">
      <alignment horizontal="centerContinuous"/>
    </xf>
    <xf numFmtId="0" fontId="26" fillId="0" borderId="0" xfId="51" applyFont="1" applyBorder="1" applyAlignment="1">
      <alignment horizontal="centerContinuous"/>
    </xf>
    <xf numFmtId="10" fontId="26" fillId="0" borderId="0" xfId="51" applyNumberFormat="1" applyFont="1" applyAlignment="1">
      <alignment horizontal="centerContinuous"/>
    </xf>
    <xf numFmtId="10" fontId="26" fillId="0" borderId="0" xfId="51" applyNumberFormat="1" applyFont="1" applyFill="1" applyBorder="1" applyAlignment="1">
      <alignment horizontal="centerContinuous"/>
    </xf>
    <xf numFmtId="0" fontId="26" fillId="0" borderId="0" xfId="51" applyFont="1" applyAlignment="1">
      <alignment horizontal="centerContinuous"/>
    </xf>
    <xf numFmtId="0" fontId="26" fillId="0" borderId="0" xfId="51" applyFont="1"/>
    <xf numFmtId="6" fontId="26" fillId="0" borderId="0" xfId="51" applyNumberFormat="1" applyFont="1" applyFill="1"/>
    <xf numFmtId="6" fontId="26" fillId="0" borderId="0" xfId="51" applyNumberFormat="1" applyFont="1" applyFill="1" applyBorder="1"/>
    <xf numFmtId="0" fontId="24" fillId="0" borderId="0" xfId="51" applyFont="1" applyFill="1" applyBorder="1" applyAlignment="1">
      <alignment horizontal="center"/>
    </xf>
    <xf numFmtId="0" fontId="26" fillId="0" borderId="0" xfId="51" applyFont="1" applyBorder="1"/>
    <xf numFmtId="10" fontId="26" fillId="0" borderId="0" xfId="51" applyNumberFormat="1" applyFont="1"/>
    <xf numFmtId="10" fontId="26" fillId="0" borderId="0" xfId="51" applyNumberFormat="1" applyFont="1" applyFill="1" applyBorder="1"/>
    <xf numFmtId="0" fontId="26" fillId="0" borderId="0" xfId="51" applyFont="1" applyFill="1"/>
    <xf numFmtId="0" fontId="26" fillId="0" borderId="0" xfId="51" applyFont="1" applyFill="1" applyBorder="1"/>
    <xf numFmtId="165" fontId="26" fillId="0" borderId="0" xfId="2" applyNumberFormat="1" applyFont="1" applyFill="1" applyAlignment="1">
      <alignment horizontal="right"/>
    </xf>
    <xf numFmtId="6" fontId="26" fillId="0" borderId="0" xfId="51" applyNumberFormat="1" applyFont="1" applyFill="1" applyBorder="1" applyAlignment="1">
      <alignment horizontal="right"/>
    </xf>
    <xf numFmtId="165" fontId="26" fillId="0" borderId="0" xfId="2" applyNumberFormat="1" applyFont="1" applyFill="1" applyBorder="1" applyAlignment="1">
      <alignment horizontal="right"/>
    </xf>
    <xf numFmtId="3" fontId="26" fillId="0" borderId="0" xfId="51" applyNumberFormat="1" applyFont="1" applyBorder="1" applyAlignment="1">
      <alignment horizontal="right"/>
    </xf>
    <xf numFmtId="166" fontId="26" fillId="0" borderId="0" xfId="51" applyNumberFormat="1" applyFont="1" applyAlignment="1">
      <alignment horizontal="right"/>
    </xf>
    <xf numFmtId="10" fontId="26" fillId="0" borderId="0" xfId="51" applyNumberFormat="1" applyFont="1" applyFill="1" applyBorder="1" applyAlignment="1">
      <alignment horizontal="right"/>
    </xf>
    <xf numFmtId="10" fontId="26" fillId="0" borderId="0" xfId="51" applyNumberFormat="1" applyFont="1" applyAlignment="1">
      <alignment horizontal="right"/>
    </xf>
    <xf numFmtId="41" fontId="26" fillId="0" borderId="0" xfId="51" applyNumberFormat="1" applyFont="1" applyFill="1" applyAlignment="1">
      <alignment horizontal="right"/>
    </xf>
    <xf numFmtId="41" fontId="26" fillId="0" borderId="0" xfId="51" applyNumberFormat="1" applyFont="1" applyFill="1" applyBorder="1" applyAlignment="1">
      <alignment horizontal="right"/>
    </xf>
    <xf numFmtId="10" fontId="26" fillId="0" borderId="0" xfId="57" applyNumberFormat="1" applyFont="1" applyBorder="1" applyAlignment="1">
      <alignment horizontal="right"/>
    </xf>
    <xf numFmtId="0" fontId="26" fillId="0" borderId="0" xfId="51" applyFont="1" applyAlignment="1">
      <alignment wrapText="1"/>
    </xf>
    <xf numFmtId="41" fontId="26" fillId="0" borderId="1" xfId="51" applyNumberFormat="1" applyFont="1" applyFill="1" applyBorder="1" applyAlignment="1">
      <alignment horizontal="right"/>
    </xf>
    <xf numFmtId="166" fontId="26" fillId="0" borderId="1" xfId="51" applyNumberFormat="1" applyFont="1" applyBorder="1" applyAlignment="1">
      <alignment horizontal="right"/>
    </xf>
    <xf numFmtId="10" fontId="26" fillId="0" borderId="1" xfId="51" applyNumberFormat="1" applyFont="1" applyBorder="1" applyAlignment="1">
      <alignment horizontal="right"/>
    </xf>
    <xf numFmtId="166" fontId="26" fillId="0" borderId="0" xfId="51" applyNumberFormat="1" applyFont="1" applyBorder="1" applyAlignment="1">
      <alignment horizontal="right"/>
    </xf>
    <xf numFmtId="10" fontId="26" fillId="0" borderId="0" xfId="51" applyNumberFormat="1" applyFont="1" applyBorder="1" applyAlignment="1">
      <alignment horizontal="right"/>
    </xf>
    <xf numFmtId="0" fontId="24" fillId="0" borderId="0" xfId="51" applyFont="1" applyAlignment="1">
      <alignment horizontal="center"/>
    </xf>
    <xf numFmtId="165" fontId="26" fillId="0" borderId="2" xfId="2" applyNumberFormat="1" applyFont="1" applyFill="1" applyBorder="1" applyAlignment="1">
      <alignment horizontal="right"/>
    </xf>
    <xf numFmtId="166" fontId="26" fillId="0" borderId="2" xfId="51" applyNumberFormat="1" applyFont="1" applyBorder="1" applyAlignment="1">
      <alignment horizontal="right"/>
    </xf>
    <xf numFmtId="10" fontId="26" fillId="0" borderId="2" xfId="51" applyNumberFormat="1" applyFont="1" applyBorder="1" applyAlignment="1">
      <alignment horizontal="right"/>
    </xf>
    <xf numFmtId="0" fontId="22" fillId="0" borderId="0" xfId="0" applyFont="1" applyFill="1" applyBorder="1"/>
    <xf numFmtId="0" fontId="25" fillId="0" borderId="0" xfId="51" applyFont="1" applyAlignment="1">
      <alignment horizontal="centerContinuous"/>
    </xf>
    <xf numFmtId="0" fontId="25" fillId="0" borderId="0" xfId="51" applyFont="1"/>
    <xf numFmtId="41" fontId="22" fillId="0" borderId="0" xfId="0" applyNumberFormat="1" applyFont="1" applyFill="1"/>
    <xf numFmtId="10" fontId="22" fillId="0" borderId="0" xfId="57" applyNumberFormat="1" applyFont="1" applyBorder="1"/>
    <xf numFmtId="6" fontId="5" fillId="0" borderId="0" xfId="51" applyNumberFormat="1" applyFont="1" applyFill="1" applyAlignment="1">
      <alignment horizontal="centerContinuous"/>
    </xf>
    <xf numFmtId="6" fontId="5" fillId="0" borderId="0" xfId="51" applyNumberFormat="1" applyFont="1" applyFill="1" applyBorder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Fill="1" applyBorder="1" applyAlignment="1">
      <alignment horizontal="centerContinuous"/>
    </xf>
    <xf numFmtId="6" fontId="3" fillId="0" borderId="0" xfId="51" applyNumberFormat="1" applyFont="1" applyFill="1" applyAlignment="1">
      <alignment horizontal="centerContinuous"/>
    </xf>
    <xf numFmtId="6" fontId="3" fillId="0" borderId="0" xfId="51" applyNumberFormat="1" applyFont="1" applyFill="1" applyBorder="1" applyAlignment="1">
      <alignment horizontal="centerContinuous"/>
    </xf>
    <xf numFmtId="0" fontId="3" fillId="0" borderId="0" xfId="51" applyFont="1" applyFill="1" applyAlignment="1">
      <alignment horizontal="centerContinuous"/>
    </xf>
    <xf numFmtId="0" fontId="3" fillId="0" borderId="0" xfId="51" applyFont="1" applyFill="1" applyBorder="1" applyAlignment="1">
      <alignment horizontal="centerContinuous"/>
    </xf>
    <xf numFmtId="0" fontId="10" fillId="0" borderId="0" xfId="0" applyFont="1" applyAlignment="1">
      <alignment horizontal="left"/>
    </xf>
    <xf numFmtId="10" fontId="10" fillId="0" borderId="0" xfId="57" applyNumberFormat="1" applyFont="1"/>
    <xf numFmtId="6" fontId="24" fillId="0" borderId="0" xfId="3" applyNumberFormat="1" applyFont="1" applyFill="1" applyAlignment="1">
      <alignment horizontal="center" vertical="top"/>
    </xf>
    <xf numFmtId="167" fontId="3" fillId="0" borderId="3" xfId="3" applyNumberFormat="1" applyFont="1" applyFill="1" applyBorder="1"/>
    <xf numFmtId="167" fontId="3" fillId="0" borderId="0" xfId="3" applyNumberFormat="1" applyFont="1" applyFill="1" applyBorder="1"/>
    <xf numFmtId="167" fontId="3" fillId="0" borderId="0" xfId="3" applyNumberFormat="1" applyFont="1" applyFill="1"/>
    <xf numFmtId="167" fontId="26" fillId="0" borderId="0" xfId="47" applyNumberFormat="1" applyFont="1" applyFill="1" applyAlignment="1">
      <alignment horizontal="right"/>
    </xf>
    <xf numFmtId="167" fontId="26" fillId="0" borderId="3" xfId="47" applyNumberFormat="1" applyFont="1" applyFill="1" applyBorder="1" applyAlignment="1">
      <alignment horizontal="right"/>
    </xf>
    <xf numFmtId="167" fontId="26" fillId="0" borderId="0" xfId="47" applyNumberFormat="1" applyFont="1" applyFill="1" applyBorder="1" applyAlignment="1">
      <alignment horizontal="right"/>
    </xf>
    <xf numFmtId="167" fontId="26" fillId="0" borderId="0" xfId="51" applyNumberFormat="1" applyFont="1" applyFill="1" applyAlignment="1">
      <alignment horizontal="right"/>
    </xf>
    <xf numFmtId="171" fontId="6" fillId="0" borderId="0" xfId="3" applyNumberFormat="1" applyFont="1" applyFill="1" applyBorder="1" applyAlignment="1"/>
    <xf numFmtId="169" fontId="6" fillId="0" borderId="0" xfId="3" applyNumberFormat="1" applyFont="1" applyFill="1" applyBorder="1" applyAlignment="1"/>
    <xf numFmtId="37" fontId="3" fillId="0" borderId="0" xfId="3" applyNumberFormat="1" applyFont="1" applyFill="1"/>
    <xf numFmtId="37" fontId="3" fillId="0" borderId="0" xfId="15" applyNumberFormat="1" applyFont="1" applyFill="1" applyAlignment="1">
      <alignment horizontal="right"/>
    </xf>
    <xf numFmtId="37" fontId="3" fillId="0" borderId="4" xfId="2" applyNumberFormat="1" applyFont="1" applyFill="1" applyBorder="1"/>
    <xf numFmtId="37" fontId="3" fillId="0" borderId="3" xfId="3" applyNumberFormat="1" applyFont="1" applyFill="1" applyBorder="1"/>
    <xf numFmtId="0" fontId="10" fillId="0" borderId="0" xfId="0" applyFont="1" applyBorder="1"/>
    <xf numFmtId="0" fontId="15" fillId="0" borderId="0" xfId="0" applyFont="1" applyBorder="1"/>
    <xf numFmtId="0" fontId="10" fillId="0" borderId="0" xfId="0" applyFont="1" applyFill="1" applyBorder="1"/>
    <xf numFmtId="37" fontId="10" fillId="0" borderId="0" xfId="0" applyNumberFormat="1" applyFont="1" applyFill="1" applyBorder="1"/>
    <xf numFmtId="42" fontId="15" fillId="0" borderId="0" xfId="0" applyNumberFormat="1" applyFont="1" applyFill="1" applyBorder="1"/>
    <xf numFmtId="0" fontId="6" fillId="0" borderId="0" xfId="3" applyFont="1" applyFill="1" applyBorder="1" applyAlignment="1">
      <alignment horizontal="center"/>
    </xf>
    <xf numFmtId="0" fontId="24" fillId="0" borderId="0" xfId="47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167" fontId="28" fillId="0" borderId="0" xfId="1" applyNumberFormat="1" applyFont="1" applyFill="1"/>
    <xf numFmtId="0" fontId="28" fillId="0" borderId="0" xfId="0" applyFont="1" applyFill="1"/>
    <xf numFmtId="167" fontId="28" fillId="0" borderId="0" xfId="1" applyNumberFormat="1" applyFont="1"/>
    <xf numFmtId="0" fontId="28" fillId="0" borderId="0" xfId="0" applyFont="1"/>
    <xf numFmtId="42" fontId="26" fillId="5" borderId="2" xfId="2" applyNumberFormat="1" applyFont="1" applyFill="1" applyBorder="1" applyAlignment="1">
      <alignment horizontal="right"/>
    </xf>
    <xf numFmtId="167" fontId="3" fillId="5" borderId="3" xfId="1" applyNumberFormat="1" applyFont="1" applyFill="1" applyBorder="1"/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7" fontId="9" fillId="0" borderId="4" xfId="1" applyNumberFormat="1" applyFont="1" applyBorder="1"/>
    <xf numFmtId="172" fontId="0" fillId="0" borderId="0" xfId="0" applyNumberFormat="1" applyBorder="1" applyAlignment="1">
      <alignment horizontal="center"/>
    </xf>
    <xf numFmtId="167" fontId="9" fillId="0" borderId="0" xfId="1" applyNumberFormat="1" applyFont="1" applyBorder="1"/>
    <xf numFmtId="167" fontId="3" fillId="6" borderId="3" xfId="1" applyNumberFormat="1" applyFont="1" applyFill="1" applyBorder="1"/>
    <xf numFmtId="172" fontId="0" fillId="5" borderId="0" xfId="0" applyNumberFormat="1" applyFill="1" applyAlignment="1">
      <alignment horizontal="center"/>
    </xf>
    <xf numFmtId="167" fontId="9" fillId="5" borderId="4" xfId="1" applyNumberFormat="1" applyFont="1" applyFill="1" applyBorder="1"/>
    <xf numFmtId="0" fontId="0" fillId="0" borderId="0" xfId="0" applyFill="1" applyAlignment="1">
      <alignment horizontal="center"/>
    </xf>
    <xf numFmtId="41" fontId="0" fillId="0" borderId="0" xfId="0" applyNumberFormat="1" applyFill="1"/>
    <xf numFmtId="172" fontId="0" fillId="0" borderId="0" xfId="0" applyNumberFormat="1" applyFill="1" applyAlignment="1">
      <alignment horizontal="center"/>
    </xf>
    <xf numFmtId="167" fontId="0" fillId="0" borderId="0" xfId="1" applyNumberFormat="1" applyFont="1" applyFill="1"/>
    <xf numFmtId="167" fontId="0" fillId="5" borderId="4" xfId="1" applyNumberFormat="1" applyFont="1" applyFill="1" applyBorder="1"/>
    <xf numFmtId="167" fontId="9" fillId="6" borderId="4" xfId="1" applyNumberFormat="1" applyFont="1" applyFill="1" applyBorder="1"/>
    <xf numFmtId="9" fontId="0" fillId="6" borderId="0" xfId="0" applyNumberFormat="1" applyFill="1" applyAlignment="1">
      <alignment horizontal="center"/>
    </xf>
    <xf numFmtId="167" fontId="9" fillId="0" borderId="4" xfId="1" applyNumberFormat="1" applyFont="1" applyFill="1" applyBorder="1"/>
    <xf numFmtId="0" fontId="2" fillId="2" borderId="0" xfId="0" applyFont="1" applyFill="1"/>
    <xf numFmtId="0" fontId="0" fillId="2" borderId="0" xfId="0" applyFill="1"/>
    <xf numFmtId="172" fontId="4" fillId="0" borderId="0" xfId="57" applyNumberFormat="1" applyFont="1" applyFill="1"/>
    <xf numFmtId="165" fontId="22" fillId="0" borderId="0" xfId="0" applyNumberFormat="1" applyFont="1" applyFill="1"/>
    <xf numFmtId="167" fontId="22" fillId="0" borderId="0" xfId="1" applyNumberFormat="1" applyFont="1" applyFill="1"/>
    <xf numFmtId="0" fontId="14" fillId="0" borderId="0" xfId="0" applyFont="1" applyFill="1" applyBorder="1"/>
    <xf numFmtId="0" fontId="0" fillId="0" borderId="0" xfId="0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7" fontId="9" fillId="0" borderId="0" xfId="0" applyNumberFormat="1" applyFont="1"/>
    <xf numFmtId="6" fontId="3" fillId="0" borderId="0" xfId="3" applyNumberFormat="1"/>
    <xf numFmtId="38" fontId="3" fillId="0" borderId="0" xfId="3" applyNumberFormat="1"/>
    <xf numFmtId="41" fontId="3" fillId="0" borderId="1" xfId="3" applyNumberFormat="1" applyBorder="1"/>
    <xf numFmtId="41" fontId="3" fillId="0" borderId="0" xfId="3" applyNumberFormat="1"/>
    <xf numFmtId="167" fontId="3" fillId="0" borderId="0" xfId="3" applyNumberFormat="1"/>
    <xf numFmtId="41" fontId="3" fillId="0" borderId="3" xfId="3" applyNumberFormat="1" applyBorder="1"/>
    <xf numFmtId="167" fontId="3" fillId="0" borderId="3" xfId="3" applyNumberFormat="1" applyBorder="1"/>
    <xf numFmtId="42" fontId="3" fillId="0" borderId="2" xfId="3" applyNumberFormat="1" applyBorder="1" applyAlignment="1">
      <alignment horizontal="right"/>
    </xf>
    <xf numFmtId="42" fontId="3" fillId="0" borderId="0" xfId="3" applyNumberFormat="1" applyAlignment="1">
      <alignment horizontal="right"/>
    </xf>
    <xf numFmtId="42" fontId="3" fillId="0" borderId="0" xfId="3" applyNumberFormat="1"/>
    <xf numFmtId="41" fontId="3" fillId="0" borderId="0" xfId="1" applyNumberFormat="1" applyFont="1" applyFill="1"/>
    <xf numFmtId="41" fontId="3" fillId="0" borderId="3" xfId="1" applyNumberFormat="1" applyFont="1" applyFill="1" applyBorder="1"/>
    <xf numFmtId="41" fontId="3" fillId="0" borderId="0" xfId="58" applyNumberFormat="1" applyFont="1" applyFill="1"/>
    <xf numFmtId="41" fontId="3" fillId="0" borderId="3" xfId="58" applyNumberFormat="1" applyFont="1" applyFill="1" applyBorder="1"/>
    <xf numFmtId="41" fontId="3" fillId="0" borderId="0" xfId="1" applyNumberFormat="1" applyFont="1" applyFill="1" applyBorder="1"/>
    <xf numFmtId="0" fontId="24" fillId="0" borderId="0" xfId="47" applyFont="1" applyFill="1" applyAlignment="1">
      <alignment horizontal="center"/>
    </xf>
    <xf numFmtId="41" fontId="10" fillId="0" borderId="0" xfId="1" applyNumberFormat="1" applyFont="1" applyFill="1"/>
    <xf numFmtId="41" fontId="10" fillId="0" borderId="3" xfId="1" applyNumberFormat="1" applyFont="1" applyFill="1" applyBorder="1"/>
    <xf numFmtId="41" fontId="26" fillId="0" borderId="0" xfId="65" applyNumberFormat="1" applyFont="1" applyAlignment="1">
      <alignment horizontal="right"/>
    </xf>
    <xf numFmtId="41" fontId="26" fillId="0" borderId="1" xfId="65" applyNumberFormat="1" applyFont="1" applyBorder="1" applyAlignment="1">
      <alignment horizontal="right"/>
    </xf>
    <xf numFmtId="167" fontId="24" fillId="0" borderId="0" xfId="1" applyNumberFormat="1" applyFont="1" applyFill="1" applyAlignment="1">
      <alignment horizontal="center"/>
    </xf>
    <xf numFmtId="167" fontId="26" fillId="0" borderId="0" xfId="1" applyNumberFormat="1" applyFont="1" applyFill="1" applyAlignment="1">
      <alignment horizontal="center"/>
    </xf>
    <xf numFmtId="167" fontId="26" fillId="0" borderId="0" xfId="1" applyNumberFormat="1" applyFont="1" applyFill="1" applyAlignment="1">
      <alignment horizontal="right"/>
    </xf>
    <xf numFmtId="167" fontId="26" fillId="0" borderId="3" xfId="1" applyNumberFormat="1" applyFont="1" applyFill="1" applyBorder="1" applyAlignment="1">
      <alignment horizontal="right"/>
    </xf>
    <xf numFmtId="167" fontId="26" fillId="0" borderId="0" xfId="1" applyNumberFormat="1" applyFont="1" applyFill="1" applyBorder="1" applyAlignment="1">
      <alignment horizontal="right"/>
    </xf>
    <xf numFmtId="167" fontId="26" fillId="0" borderId="0" xfId="1" applyNumberFormat="1" applyFont="1" applyFill="1"/>
    <xf numFmtId="167" fontId="26" fillId="0" borderId="3" xfId="1" applyNumberFormat="1" applyFont="1" applyFill="1" applyBorder="1"/>
    <xf numFmtId="167" fontId="26" fillId="0" borderId="0" xfId="1" applyNumberFormat="1" applyFont="1" applyFill="1" applyBorder="1"/>
    <xf numFmtId="167" fontId="24" fillId="0" borderId="1" xfId="1" applyNumberFormat="1" applyFont="1" applyFill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3" fillId="0" borderId="1" xfId="1" applyNumberFormat="1" applyFont="1" applyFill="1" applyBorder="1"/>
    <xf numFmtId="167" fontId="3" fillId="0" borderId="0" xfId="1" applyNumberFormat="1" applyFont="1" applyFill="1" applyAlignment="1">
      <alignment horizontal="right"/>
    </xf>
    <xf numFmtId="167" fontId="3" fillId="0" borderId="4" xfId="1" applyNumberFormat="1" applyFont="1" applyFill="1" applyBorder="1"/>
    <xf numFmtId="167" fontId="10" fillId="0" borderId="0" xfId="1" applyNumberFormat="1" applyFont="1" applyFill="1" applyBorder="1"/>
    <xf numFmtId="167" fontId="15" fillId="0" borderId="0" xfId="1" applyNumberFormat="1" applyFont="1" applyFill="1" applyBorder="1"/>
    <xf numFmtId="167" fontId="6" fillId="0" borderId="0" xfId="1" applyNumberFormat="1" applyFont="1" applyFill="1" applyBorder="1" applyAlignment="1"/>
    <xf numFmtId="167" fontId="5" fillId="0" borderId="0" xfId="1" applyNumberFormat="1" applyFont="1" applyFill="1" applyBorder="1" applyAlignment="1">
      <alignment horizontal="center"/>
    </xf>
    <xf numFmtId="167" fontId="0" fillId="0" borderId="0" xfId="1" applyNumberFormat="1" applyFont="1"/>
    <xf numFmtId="0" fontId="16" fillId="3" borderId="0" xfId="66" quotePrefix="1" applyNumberFormat="1" applyFill="1"/>
    <xf numFmtId="10" fontId="0" fillId="0" borderId="0" xfId="57" applyNumberFormat="1" applyFont="1" applyFill="1"/>
    <xf numFmtId="42" fontId="0" fillId="0" borderId="0" xfId="0" applyNumberFormat="1" applyFill="1"/>
    <xf numFmtId="0" fontId="15" fillId="0" borderId="9" xfId="0" applyFont="1" applyFill="1" applyBorder="1"/>
    <xf numFmtId="6" fontId="5" fillId="0" borderId="10" xfId="3" applyNumberFormat="1" applyFont="1" applyFill="1" applyBorder="1"/>
    <xf numFmtId="0" fontId="2" fillId="0" borderId="0" xfId="0" applyFont="1" applyFill="1" applyBorder="1"/>
    <xf numFmtId="6" fontId="5" fillId="0" borderId="12" xfId="3" applyNumberFormat="1" applyFont="1" applyFill="1" applyBorder="1" applyAlignment="1">
      <alignment horizontal="center"/>
    </xf>
    <xf numFmtId="6" fontId="3" fillId="0" borderId="12" xfId="3" applyNumberFormat="1" applyFill="1" applyBorder="1"/>
    <xf numFmtId="42" fontId="0" fillId="0" borderId="0" xfId="0" applyNumberFormat="1" applyFill="1" applyBorder="1"/>
    <xf numFmtId="42" fontId="0" fillId="0" borderId="12" xfId="0" applyNumberFormat="1" applyFill="1" applyBorder="1"/>
    <xf numFmtId="0" fontId="23" fillId="0" borderId="14" xfId="0" applyFont="1" applyBorder="1"/>
    <xf numFmtId="42" fontId="0" fillId="0" borderId="14" xfId="0" applyNumberFormat="1" applyFill="1" applyBorder="1"/>
    <xf numFmtId="0" fontId="0" fillId="0" borderId="14" xfId="0" applyFill="1" applyBorder="1"/>
    <xf numFmtId="0" fontId="6" fillId="0" borderId="0" xfId="3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8" xfId="0" applyFont="1" applyBorder="1"/>
    <xf numFmtId="0" fontId="0" fillId="0" borderId="11" xfId="0" applyBorder="1"/>
    <xf numFmtId="0" fontId="2" fillId="0" borderId="11" xfId="0" applyFont="1" applyBorder="1"/>
    <xf numFmtId="0" fontId="23" fillId="0" borderId="13" xfId="0" applyFont="1" applyBorder="1"/>
    <xf numFmtId="0" fontId="2" fillId="0" borderId="11" xfId="0" applyFont="1" applyBorder="1" applyAlignment="1"/>
    <xf numFmtId="0" fontId="0" fillId="0" borderId="0" xfId="0" applyFill="1" applyBorder="1" applyAlignment="1">
      <alignment horizontal="left"/>
    </xf>
    <xf numFmtId="42" fontId="0" fillId="0" borderId="0" xfId="0" applyNumberFormat="1" applyFill="1" applyBorder="1" applyAlignment="1">
      <alignment horizontal="left"/>
    </xf>
    <xf numFmtId="0" fontId="0" fillId="0" borderId="9" xfId="0" applyFill="1" applyBorder="1"/>
    <xf numFmtId="0" fontId="23" fillId="0" borderId="11" xfId="0" applyFont="1" applyBorder="1" applyAlignment="1"/>
    <xf numFmtId="0" fontId="23" fillId="0" borderId="11" xfId="0" applyFont="1" applyBorder="1" applyAlignment="1">
      <alignment horizontal="left"/>
    </xf>
    <xf numFmtId="0" fontId="0" fillId="0" borderId="15" xfId="0" applyFill="1" applyBorder="1"/>
    <xf numFmtId="0" fontId="24" fillId="0" borderId="0" xfId="47" applyFont="1" applyFill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167" fontId="9" fillId="0" borderId="0" xfId="1" applyNumberFormat="1" applyFont="1" applyAlignment="1"/>
    <xf numFmtId="167" fontId="1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5" fillId="0" borderId="0" xfId="47" applyFont="1" applyFill="1" applyAlignment="1">
      <alignment horizontal="center"/>
    </xf>
    <xf numFmtId="0" fontId="5" fillId="0" borderId="0" xfId="47" applyFont="1" applyFill="1" applyAlignment="1">
      <alignment horizontal="center"/>
    </xf>
    <xf numFmtId="0" fontId="27" fillId="0" borderId="0" xfId="47" applyFont="1" applyFill="1" applyAlignment="1">
      <alignment horizontal="center"/>
    </xf>
    <xf numFmtId="0" fontId="24" fillId="0" borderId="0" xfId="47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</cellXfs>
  <cellStyles count="67">
    <cellStyle name="Comma" xfId="1" builtinId="3"/>
    <cellStyle name="Comma 2" xfId="4" xr:uid="{00000000-0005-0000-0000-000001000000}"/>
    <cellStyle name="Comma 2 2" xfId="58" xr:uid="{00000000-0005-0000-0000-000002000000}"/>
    <cellStyle name="Comma 3" xfId="48" xr:uid="{00000000-0005-0000-0000-000003000000}"/>
    <cellStyle name="Comma 3 2" xfId="64" xr:uid="{00000000-0005-0000-0000-000004000000}"/>
    <cellStyle name="Currency" xfId="2" builtinId="4"/>
    <cellStyle name="Normal" xfId="0" builtinId="0"/>
    <cellStyle name="Normal 10" xfId="51" xr:uid="{00000000-0005-0000-0000-000007000000}"/>
    <cellStyle name="Normal 10 2" xfId="65" xr:uid="{00000000-0005-0000-0000-000008000000}"/>
    <cellStyle name="Normal 2" xfId="3" xr:uid="{00000000-0005-0000-0000-000009000000}"/>
    <cellStyle name="Normal 2 10" xfId="66" xr:uid="{00000000-0005-0000-0000-00000A000000}"/>
    <cellStyle name="Normal 2 2" xfId="5" xr:uid="{00000000-0005-0000-0000-00000B000000}"/>
    <cellStyle name="Normal 2 2 2" xfId="11" xr:uid="{00000000-0005-0000-0000-00000C000000}"/>
    <cellStyle name="Normal 2 2 2 2" xfId="27" xr:uid="{00000000-0005-0000-0000-00000D000000}"/>
    <cellStyle name="Normal 2 2 2 3" xfId="37" xr:uid="{00000000-0005-0000-0000-00000E000000}"/>
    <cellStyle name="Normal 2 2 3" xfId="13" xr:uid="{00000000-0005-0000-0000-00000F000000}"/>
    <cellStyle name="Normal 2 2 3 2" xfId="30" xr:uid="{00000000-0005-0000-0000-000010000000}"/>
    <cellStyle name="Normal 2 2 3 3" xfId="40" xr:uid="{00000000-0005-0000-0000-000011000000}"/>
    <cellStyle name="Normal 2 2 4" xfId="17" xr:uid="{00000000-0005-0000-0000-000012000000}"/>
    <cellStyle name="Normal 2 2 4 2" xfId="33" xr:uid="{00000000-0005-0000-0000-000013000000}"/>
    <cellStyle name="Normal 2 2 4 3" xfId="43" xr:uid="{00000000-0005-0000-0000-000014000000}"/>
    <cellStyle name="Normal 2 2 5" xfId="24" xr:uid="{00000000-0005-0000-0000-000015000000}"/>
    <cellStyle name="Normal 2 2 6" xfId="21" xr:uid="{00000000-0005-0000-0000-000016000000}"/>
    <cellStyle name="Normal 2 3" xfId="10" xr:uid="{00000000-0005-0000-0000-000017000000}"/>
    <cellStyle name="Normal 2 3 2" xfId="26" xr:uid="{00000000-0005-0000-0000-000018000000}"/>
    <cellStyle name="Normal 2 3 3" xfId="36" xr:uid="{00000000-0005-0000-0000-000019000000}"/>
    <cellStyle name="Normal 2 4" xfId="12" xr:uid="{00000000-0005-0000-0000-00001A000000}"/>
    <cellStyle name="Normal 2 4 2" xfId="29" xr:uid="{00000000-0005-0000-0000-00001B000000}"/>
    <cellStyle name="Normal 2 4 3" xfId="39" xr:uid="{00000000-0005-0000-0000-00001C000000}"/>
    <cellStyle name="Normal 2 5" xfId="16" xr:uid="{00000000-0005-0000-0000-00001D000000}"/>
    <cellStyle name="Normal 2 5 2" xfId="32" xr:uid="{00000000-0005-0000-0000-00001E000000}"/>
    <cellStyle name="Normal 2 5 3" xfId="42" xr:uid="{00000000-0005-0000-0000-00001F000000}"/>
    <cellStyle name="Normal 2 6" xfId="23" xr:uid="{00000000-0005-0000-0000-000020000000}"/>
    <cellStyle name="Normal 2 7" xfId="22" xr:uid="{00000000-0005-0000-0000-000021000000}"/>
    <cellStyle name="Normal 2 8" xfId="49" xr:uid="{00000000-0005-0000-0000-000022000000}"/>
    <cellStyle name="Normal 2 9" xfId="52" xr:uid="{00000000-0005-0000-0000-000023000000}"/>
    <cellStyle name="Normal 3" xfId="7" xr:uid="{00000000-0005-0000-0000-000024000000}"/>
    <cellStyle name="Normal 3 2" xfId="59" xr:uid="{00000000-0005-0000-0000-000025000000}"/>
    <cellStyle name="Normal 4" xfId="8" xr:uid="{00000000-0005-0000-0000-000026000000}"/>
    <cellStyle name="Normal 4 2" xfId="55" xr:uid="{00000000-0005-0000-0000-000027000000}"/>
    <cellStyle name="Normal 5" xfId="9" xr:uid="{00000000-0005-0000-0000-000028000000}"/>
    <cellStyle name="Normal 5 2" xfId="54" xr:uid="{00000000-0005-0000-0000-000029000000}"/>
    <cellStyle name="Normal 6" xfId="15" xr:uid="{00000000-0005-0000-0000-00002A000000}"/>
    <cellStyle name="Normal 6 2" xfId="56" xr:uid="{00000000-0005-0000-0000-00002B000000}"/>
    <cellStyle name="Normal 7" xfId="19" xr:uid="{00000000-0005-0000-0000-00002C000000}"/>
    <cellStyle name="Normal 7 2" xfId="35" xr:uid="{00000000-0005-0000-0000-00002D000000}"/>
    <cellStyle name="Normal 7 2 2" xfId="61" xr:uid="{00000000-0005-0000-0000-00002E000000}"/>
    <cellStyle name="Normal 7 3" xfId="45" xr:uid="{00000000-0005-0000-0000-00002F000000}"/>
    <cellStyle name="Normal 7 3 2" xfId="62" xr:uid="{00000000-0005-0000-0000-000030000000}"/>
    <cellStyle name="Normal 7 4" xfId="60" xr:uid="{00000000-0005-0000-0000-000031000000}"/>
    <cellStyle name="Normal 8" xfId="46" xr:uid="{00000000-0005-0000-0000-000032000000}"/>
    <cellStyle name="Normal 9" xfId="47" xr:uid="{00000000-0005-0000-0000-000033000000}"/>
    <cellStyle name="Normal 9 2" xfId="63" xr:uid="{00000000-0005-0000-0000-000034000000}"/>
    <cellStyle name="Percent" xfId="57" builtinId="5"/>
    <cellStyle name="Percent 2 2" xfId="6" xr:uid="{00000000-0005-0000-0000-000036000000}"/>
    <cellStyle name="Percent 2 2 2" xfId="28" xr:uid="{00000000-0005-0000-0000-000037000000}"/>
    <cellStyle name="Percent 2 2 3" xfId="38" xr:uid="{00000000-0005-0000-0000-000038000000}"/>
    <cellStyle name="Percent 2 3" xfId="14" xr:uid="{00000000-0005-0000-0000-000039000000}"/>
    <cellStyle name="Percent 2 3 2" xfId="31" xr:uid="{00000000-0005-0000-0000-00003A000000}"/>
    <cellStyle name="Percent 2 3 3" xfId="41" xr:uid="{00000000-0005-0000-0000-00003B000000}"/>
    <cellStyle name="Percent 2 4" xfId="18" xr:uid="{00000000-0005-0000-0000-00003C000000}"/>
    <cellStyle name="Percent 2 4 2" xfId="34" xr:uid="{00000000-0005-0000-0000-00003D000000}"/>
    <cellStyle name="Percent 2 4 3" xfId="44" xr:uid="{00000000-0005-0000-0000-00003E000000}"/>
    <cellStyle name="Percent 2 5" xfId="25" xr:uid="{00000000-0005-0000-0000-00003F000000}"/>
    <cellStyle name="Percent 2 6" xfId="20" xr:uid="{00000000-0005-0000-0000-000040000000}"/>
    <cellStyle name="Percent 2 7" xfId="50" xr:uid="{00000000-0005-0000-0000-000041000000}"/>
    <cellStyle name="Percent 2 8" xfId="53" xr:uid="{00000000-0005-0000-0000-000042000000}"/>
  </cellStyles>
  <dxfs count="0"/>
  <tableStyles count="0" defaultTableStyle="TableStyleMedium9" defaultPivotStyle="PivotStyleLight16"/>
  <colors>
    <mruColors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197068</xdr:colOff>
      <xdr:row>2</xdr:row>
      <xdr:rowOff>21898</xdr:rowOff>
    </xdr:from>
    <xdr:ext cx="2010339" cy="1256462"/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768" y="402898"/>
          <a:ext cx="2010339" cy="1256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showOutlineSymbols="0" topLeftCell="A21" zoomScale="87" zoomScaleNormal="87" workbookViewId="0">
      <selection activeCell="B35" sqref="B35"/>
    </sheetView>
  </sheetViews>
  <sheetFormatPr defaultColWidth="11.140625" defaultRowHeight="15" x14ac:dyDescent="0.2"/>
  <cols>
    <col min="1" max="1" width="7.140625" style="105" customWidth="1"/>
    <col min="2" max="8" width="11.140625" style="105"/>
    <col min="9" max="9" width="9.85546875" style="105" customWidth="1"/>
    <col min="10" max="10" width="2.28515625" style="105" customWidth="1"/>
    <col min="11" max="11" width="5" style="105" customWidth="1"/>
    <col min="12" max="13" width="27.140625" style="105" customWidth="1"/>
    <col min="14" max="16384" width="11.140625" style="105"/>
  </cols>
  <sheetData>
    <row r="1" spans="1:12" x14ac:dyDescent="0.2">
      <c r="A1" s="359"/>
    </row>
    <row r="2" spans="1:12" ht="15.75" thickBot="1" x14ac:dyDescent="0.25"/>
    <row r="3" spans="1:12" x14ac:dyDescent="0.2">
      <c r="B3" s="106"/>
      <c r="C3" s="107"/>
      <c r="D3" s="107"/>
      <c r="E3" s="107"/>
      <c r="F3" s="107"/>
      <c r="G3" s="107"/>
      <c r="H3" s="107"/>
      <c r="I3" s="107"/>
      <c r="J3" s="108"/>
      <c r="K3" s="109"/>
      <c r="L3" s="109"/>
    </row>
    <row r="4" spans="1:12" x14ac:dyDescent="0.2">
      <c r="B4" s="110"/>
      <c r="C4" s="109"/>
      <c r="D4" s="109"/>
      <c r="E4" s="109"/>
      <c r="F4" s="109"/>
      <c r="G4" s="109"/>
      <c r="H4" s="109"/>
      <c r="I4" s="109"/>
      <c r="J4" s="111"/>
      <c r="K4" s="109"/>
      <c r="L4" s="109"/>
    </row>
    <row r="5" spans="1:12" x14ac:dyDescent="0.2">
      <c r="B5" s="112"/>
      <c r="C5" s="113"/>
      <c r="D5" s="113"/>
      <c r="E5" s="113"/>
      <c r="F5" s="113"/>
      <c r="G5" s="113"/>
      <c r="H5" s="113"/>
      <c r="I5" s="113"/>
      <c r="J5" s="111"/>
      <c r="K5" s="109"/>
      <c r="L5" s="109"/>
    </row>
    <row r="6" spans="1:12" ht="18" x14ac:dyDescent="0.25">
      <c r="B6" s="112"/>
      <c r="C6" s="114"/>
      <c r="D6" s="115"/>
      <c r="E6" s="115"/>
      <c r="F6" s="115"/>
      <c r="G6" s="115"/>
      <c r="H6" s="115"/>
      <c r="I6" s="115"/>
      <c r="J6" s="111"/>
      <c r="K6" s="109"/>
      <c r="L6" s="109"/>
    </row>
    <row r="7" spans="1:12" ht="30" x14ac:dyDescent="0.4">
      <c r="B7" s="116"/>
      <c r="C7" s="114"/>
      <c r="D7" s="115"/>
      <c r="E7" s="115"/>
      <c r="F7" s="115"/>
      <c r="G7" s="115"/>
      <c r="H7" s="115"/>
      <c r="I7" s="115"/>
      <c r="J7" s="111"/>
      <c r="K7" s="109"/>
      <c r="L7" s="109"/>
    </row>
    <row r="8" spans="1:12" ht="30" x14ac:dyDescent="0.4">
      <c r="B8" s="116" t="s">
        <v>0</v>
      </c>
      <c r="C8" s="114"/>
      <c r="D8" s="115"/>
      <c r="E8" s="115"/>
      <c r="F8" s="115"/>
      <c r="G8" s="115"/>
      <c r="H8" s="115"/>
      <c r="I8" s="115"/>
      <c r="J8" s="111"/>
      <c r="K8" s="109"/>
      <c r="L8" s="109"/>
    </row>
    <row r="9" spans="1:12" ht="18" x14ac:dyDescent="0.25">
      <c r="B9" s="117"/>
      <c r="C9" s="114"/>
      <c r="D9" s="115"/>
      <c r="E9" s="115"/>
      <c r="F9" s="115"/>
      <c r="G9" s="115"/>
      <c r="H9" s="115"/>
      <c r="I9" s="115"/>
      <c r="J9" s="111"/>
      <c r="K9" s="109"/>
      <c r="L9" s="109"/>
    </row>
    <row r="10" spans="1:12" ht="18.75" thickBot="1" x14ac:dyDescent="0.3">
      <c r="B10" s="118"/>
      <c r="C10" s="119"/>
      <c r="D10" s="120"/>
      <c r="E10" s="120"/>
      <c r="F10" s="120"/>
      <c r="G10" s="120"/>
      <c r="H10" s="120"/>
      <c r="I10" s="120"/>
      <c r="J10" s="121"/>
      <c r="K10" s="109"/>
      <c r="L10" s="109"/>
    </row>
    <row r="11" spans="1:12" ht="18" x14ac:dyDescent="0.25">
      <c r="B11" s="122"/>
      <c r="C11" s="122"/>
      <c r="D11" s="123"/>
      <c r="E11" s="123"/>
      <c r="F11" s="123"/>
      <c r="G11" s="123"/>
      <c r="H11" s="123"/>
      <c r="I11" s="124"/>
      <c r="J11" s="109"/>
      <c r="K11" s="109"/>
      <c r="L11" s="109"/>
    </row>
    <row r="12" spans="1:12" ht="18.75" thickBot="1" x14ac:dyDescent="0.3">
      <c r="B12" s="122"/>
      <c r="C12" s="122"/>
      <c r="D12" s="123"/>
      <c r="E12" s="123"/>
      <c r="F12" s="123"/>
      <c r="G12" s="123"/>
      <c r="H12" s="123"/>
      <c r="I12" s="123"/>
    </row>
    <row r="13" spans="1:12" x14ac:dyDescent="0.2">
      <c r="B13" s="125"/>
      <c r="C13" s="126"/>
      <c r="D13" s="126"/>
      <c r="E13" s="126"/>
      <c r="F13" s="126"/>
      <c r="G13" s="126"/>
      <c r="H13" s="126"/>
      <c r="I13" s="126"/>
      <c r="J13" s="108"/>
    </row>
    <row r="14" spans="1:12" x14ac:dyDescent="0.2">
      <c r="B14" s="112"/>
      <c r="C14" s="113"/>
      <c r="D14" s="113"/>
      <c r="E14" s="113"/>
      <c r="F14" s="113"/>
      <c r="G14" s="113"/>
      <c r="H14" s="113"/>
      <c r="I14" s="113"/>
      <c r="J14" s="111"/>
    </row>
    <row r="15" spans="1:12" x14ac:dyDescent="0.2">
      <c r="B15" s="112"/>
      <c r="C15" s="113"/>
      <c r="D15" s="113"/>
      <c r="E15" s="113"/>
      <c r="F15" s="113"/>
      <c r="G15" s="113"/>
      <c r="H15" s="113"/>
      <c r="I15" s="113"/>
      <c r="J15" s="111"/>
    </row>
    <row r="16" spans="1:12" x14ac:dyDescent="0.2">
      <c r="B16" s="112"/>
      <c r="C16" s="113"/>
      <c r="D16" s="113"/>
      <c r="E16" s="113"/>
      <c r="F16" s="113"/>
      <c r="G16" s="113"/>
      <c r="H16" s="113"/>
      <c r="I16" s="113"/>
      <c r="J16" s="111"/>
    </row>
    <row r="17" spans="1:10" x14ac:dyDescent="0.2">
      <c r="B17" s="112"/>
      <c r="C17" s="113"/>
      <c r="D17" s="113"/>
      <c r="E17" s="113"/>
      <c r="F17" s="113"/>
      <c r="G17" s="113"/>
      <c r="H17" s="113"/>
      <c r="I17" s="113"/>
      <c r="J17" s="111"/>
    </row>
    <row r="18" spans="1:10" ht="30" x14ac:dyDescent="0.4">
      <c r="A18" s="123"/>
      <c r="B18" s="116" t="s">
        <v>152</v>
      </c>
      <c r="C18" s="115"/>
      <c r="D18" s="115"/>
      <c r="E18" s="115"/>
      <c r="F18" s="115"/>
      <c r="G18" s="115"/>
      <c r="H18" s="115"/>
      <c r="I18" s="115"/>
      <c r="J18" s="111"/>
    </row>
    <row r="19" spans="1:10" ht="30" x14ac:dyDescent="0.4">
      <c r="A19" s="123"/>
      <c r="B19" s="116"/>
      <c r="C19" s="115"/>
      <c r="D19" s="115"/>
      <c r="E19" s="115"/>
      <c r="F19" s="115"/>
      <c r="G19" s="115"/>
      <c r="H19" s="115"/>
      <c r="I19" s="115"/>
      <c r="J19" s="111"/>
    </row>
    <row r="20" spans="1:10" ht="30" x14ac:dyDescent="0.4">
      <c r="A20" s="123"/>
      <c r="B20" s="116" t="s">
        <v>182</v>
      </c>
      <c r="C20" s="115"/>
      <c r="D20" s="115"/>
      <c r="E20" s="115"/>
      <c r="F20" s="115"/>
      <c r="G20" s="115"/>
      <c r="H20" s="115"/>
      <c r="I20" s="115"/>
      <c r="J20" s="111"/>
    </row>
    <row r="21" spans="1:10" ht="30" x14ac:dyDescent="0.4">
      <c r="A21" s="123"/>
      <c r="B21" s="116"/>
      <c r="C21" s="115"/>
      <c r="D21" s="115"/>
      <c r="E21" s="115"/>
      <c r="F21" s="115"/>
      <c r="G21" s="115"/>
      <c r="H21" s="115"/>
      <c r="I21" s="115"/>
      <c r="J21" s="111"/>
    </row>
    <row r="22" spans="1:10" ht="30" x14ac:dyDescent="0.4">
      <c r="A22" s="123"/>
      <c r="B22" s="116" t="s">
        <v>222</v>
      </c>
      <c r="C22" s="115"/>
      <c r="D22" s="115"/>
      <c r="E22" s="115"/>
      <c r="F22" s="115"/>
      <c r="G22" s="115"/>
      <c r="H22" s="115"/>
      <c r="I22" s="115"/>
      <c r="J22" s="111"/>
    </row>
    <row r="23" spans="1:10" ht="30" x14ac:dyDescent="0.4">
      <c r="A23" s="123"/>
      <c r="B23" s="116"/>
      <c r="C23" s="115"/>
      <c r="D23" s="115"/>
      <c r="E23" s="115"/>
      <c r="F23" s="115"/>
      <c r="G23" s="115"/>
      <c r="H23" s="115"/>
      <c r="I23" s="115"/>
      <c r="J23" s="111"/>
    </row>
    <row r="24" spans="1:10" ht="30" x14ac:dyDescent="0.4">
      <c r="A24" s="123"/>
      <c r="B24" s="116" t="s">
        <v>183</v>
      </c>
      <c r="C24" s="115"/>
      <c r="D24" s="115"/>
      <c r="E24" s="115"/>
      <c r="F24" s="115"/>
      <c r="G24" s="115"/>
      <c r="H24" s="115"/>
      <c r="I24" s="115"/>
      <c r="J24" s="111"/>
    </row>
    <row r="25" spans="1:10" ht="30" x14ac:dyDescent="0.4">
      <c r="A25" s="123"/>
      <c r="B25" s="116"/>
      <c r="C25" s="115"/>
      <c r="D25" s="115"/>
      <c r="E25" s="115"/>
      <c r="F25" s="115"/>
      <c r="G25" s="115"/>
      <c r="H25" s="115"/>
      <c r="I25" s="115"/>
      <c r="J25" s="111"/>
    </row>
    <row r="26" spans="1:10" ht="20.25" x14ac:dyDescent="0.3">
      <c r="A26" s="123"/>
      <c r="B26" s="127" t="s">
        <v>223</v>
      </c>
      <c r="C26" s="115"/>
      <c r="D26" s="115"/>
      <c r="E26" s="115"/>
      <c r="F26" s="115"/>
      <c r="G26" s="115"/>
      <c r="H26" s="115"/>
      <c r="I26" s="115"/>
      <c r="J26" s="111"/>
    </row>
    <row r="27" spans="1:10" ht="30" x14ac:dyDescent="0.4">
      <c r="A27" s="123"/>
      <c r="B27" s="116"/>
      <c r="C27" s="115"/>
      <c r="D27" s="115"/>
      <c r="E27" s="115"/>
      <c r="F27" s="115"/>
      <c r="G27" s="115"/>
      <c r="H27" s="115"/>
      <c r="I27" s="115"/>
      <c r="J27" s="111"/>
    </row>
    <row r="28" spans="1:10" x14ac:dyDescent="0.2">
      <c r="A28" s="123"/>
      <c r="B28" s="128"/>
      <c r="C28" s="115"/>
      <c r="D28" s="115"/>
      <c r="E28" s="115"/>
      <c r="F28" s="115"/>
      <c r="G28" s="115"/>
      <c r="H28" s="115"/>
      <c r="I28" s="115"/>
      <c r="J28" s="111"/>
    </row>
    <row r="29" spans="1:10" x14ac:dyDescent="0.2">
      <c r="A29" s="123"/>
      <c r="B29" s="128"/>
      <c r="C29" s="115"/>
      <c r="D29" s="115"/>
      <c r="E29" s="115"/>
      <c r="F29" s="115"/>
      <c r="G29" s="115"/>
      <c r="H29" s="115"/>
      <c r="I29" s="115"/>
      <c r="J29" s="111"/>
    </row>
    <row r="30" spans="1:10" x14ac:dyDescent="0.2">
      <c r="A30" s="123"/>
      <c r="B30" s="129"/>
      <c r="C30" s="124"/>
      <c r="D30" s="124"/>
      <c r="E30" s="124"/>
      <c r="F30" s="124"/>
      <c r="G30" s="124"/>
      <c r="H30" s="124"/>
      <c r="I30" s="124"/>
      <c r="J30" s="111"/>
    </row>
    <row r="31" spans="1:10" ht="15.75" thickBot="1" x14ac:dyDescent="0.25">
      <c r="A31" s="123"/>
      <c r="B31" s="130"/>
      <c r="C31" s="131"/>
      <c r="D31" s="131"/>
      <c r="E31" s="131"/>
      <c r="F31" s="131"/>
      <c r="G31" s="131"/>
      <c r="H31" s="131"/>
      <c r="I31" s="131"/>
      <c r="J31" s="121"/>
    </row>
    <row r="32" spans="1:10" ht="15.75" thickBot="1" x14ac:dyDescent="0.25">
      <c r="A32" s="123"/>
      <c r="B32" s="132"/>
      <c r="C32" s="132"/>
      <c r="D32" s="132"/>
      <c r="E32" s="132"/>
      <c r="F32" s="132"/>
      <c r="G32" s="132"/>
      <c r="H32" s="132"/>
      <c r="I32" s="132"/>
    </row>
    <row r="33" spans="1:10" x14ac:dyDescent="0.2">
      <c r="A33" s="123"/>
      <c r="B33" s="133"/>
      <c r="C33" s="134"/>
      <c r="D33" s="134"/>
      <c r="E33" s="134"/>
      <c r="F33" s="134"/>
      <c r="G33" s="134"/>
      <c r="H33" s="134"/>
      <c r="I33" s="134"/>
      <c r="J33" s="108"/>
    </row>
    <row r="34" spans="1:10" ht="22.5" x14ac:dyDescent="0.3">
      <c r="A34" s="123"/>
      <c r="B34" s="135" t="s">
        <v>243</v>
      </c>
      <c r="C34" s="114"/>
      <c r="D34" s="115"/>
      <c r="E34" s="115"/>
      <c r="F34" s="115"/>
      <c r="G34" s="115"/>
      <c r="H34" s="115"/>
      <c r="I34" s="115"/>
      <c r="J34" s="111"/>
    </row>
    <row r="35" spans="1:10" ht="22.5" x14ac:dyDescent="0.3">
      <c r="A35" s="123"/>
      <c r="B35" s="136">
        <v>44438</v>
      </c>
      <c r="C35" s="114"/>
      <c r="D35" s="115"/>
      <c r="E35" s="115"/>
      <c r="F35" s="115"/>
      <c r="G35" s="115"/>
      <c r="H35" s="115"/>
      <c r="I35" s="115"/>
      <c r="J35" s="111"/>
    </row>
    <row r="36" spans="1:10" ht="18.75" thickBot="1" x14ac:dyDescent="0.3">
      <c r="A36" s="123"/>
      <c r="B36" s="118"/>
      <c r="C36" s="119"/>
      <c r="D36" s="120"/>
      <c r="E36" s="120"/>
      <c r="F36" s="120"/>
      <c r="G36" s="120"/>
      <c r="H36" s="120"/>
      <c r="I36" s="120"/>
      <c r="J36" s="121"/>
    </row>
    <row r="37" spans="1:10" ht="18" x14ac:dyDescent="0.25">
      <c r="A37" s="123"/>
      <c r="B37" s="137"/>
      <c r="C37" s="137"/>
      <c r="D37" s="132"/>
      <c r="E37" s="132"/>
      <c r="F37" s="132"/>
      <c r="G37" s="132"/>
      <c r="H37" s="132"/>
      <c r="I37" s="132"/>
    </row>
    <row r="38" spans="1:10" ht="18" x14ac:dyDescent="0.25">
      <c r="B38" s="138"/>
      <c r="C38" s="138"/>
    </row>
    <row r="39" spans="1:10" ht="18" x14ac:dyDescent="0.25">
      <c r="B39" s="138"/>
      <c r="C39" s="138"/>
    </row>
    <row r="40" spans="1:10" ht="18" x14ac:dyDescent="0.25">
      <c r="B40" s="138"/>
      <c r="C40" s="138"/>
    </row>
    <row r="41" spans="1:10" ht="18" x14ac:dyDescent="0.25">
      <c r="B41" s="138"/>
      <c r="C41" s="138"/>
    </row>
  </sheetData>
  <pageMargins left="0.5" right="0.25" top="0.75" bottom="0.75" header="0.5" footer="0.5"/>
  <pageSetup scale="92" orientation="portrait" r:id="rId1"/>
  <headerFooter alignWithMargins="0"/>
  <rowBreaks count="2" manualBreakCount="2">
    <brk id="33" max="10" man="1"/>
    <brk id="35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8"/>
  <sheetViews>
    <sheetView tabSelected="1" zoomScaleNormal="100" workbookViewId="0">
      <selection activeCell="B35" sqref="B35"/>
    </sheetView>
  </sheetViews>
  <sheetFormatPr defaultRowHeight="15" x14ac:dyDescent="0.25"/>
  <cols>
    <col min="1" max="1" width="5.85546875" style="317" customWidth="1"/>
    <col min="2" max="2" width="4.85546875" style="152" customWidth="1"/>
    <col min="3" max="3" width="20.140625" style="152" bestFit="1" customWidth="1"/>
    <col min="4" max="4" width="13.85546875" style="153" customWidth="1"/>
    <col min="5" max="5" width="1.28515625" style="250" customWidth="1"/>
    <col min="6" max="6" width="13.85546875" style="153" customWidth="1"/>
    <col min="7" max="7" width="1.28515625" style="250" customWidth="1"/>
    <col min="8" max="8" width="13.85546875" style="153" customWidth="1"/>
    <col min="9" max="9" width="1.5703125" style="154" customWidth="1"/>
    <col min="10" max="10" width="11.42578125" style="152" customWidth="1"/>
    <col min="11" max="11" width="1.28515625" style="250" customWidth="1"/>
    <col min="12" max="12" width="8.85546875" style="152"/>
    <col min="13" max="20" width="0" hidden="1" customWidth="1"/>
    <col min="21" max="21" width="2.85546875" hidden="1" customWidth="1"/>
  </cols>
  <sheetData>
    <row r="1" spans="1:18" x14ac:dyDescent="0.25">
      <c r="B1" s="216" t="s">
        <v>0</v>
      </c>
      <c r="C1" s="216"/>
      <c r="D1" s="255"/>
      <c r="E1" s="256"/>
      <c r="F1" s="257"/>
      <c r="G1" s="258"/>
      <c r="H1" s="259"/>
      <c r="I1" s="217"/>
      <c r="J1" s="218"/>
      <c r="K1" s="219"/>
      <c r="L1" s="218"/>
    </row>
    <row r="2" spans="1:18" x14ac:dyDescent="0.25">
      <c r="B2" s="251" t="s">
        <v>98</v>
      </c>
      <c r="C2" s="220"/>
      <c r="D2" s="259"/>
      <c r="E2" s="260"/>
      <c r="F2" s="261"/>
      <c r="G2" s="262"/>
      <c r="H2" s="259"/>
      <c r="I2" s="217"/>
      <c r="J2" s="218"/>
      <c r="K2" s="219"/>
      <c r="L2" s="218"/>
    </row>
    <row r="3" spans="1:18" x14ac:dyDescent="0.25">
      <c r="B3" s="252"/>
      <c r="C3" s="221"/>
      <c r="D3" s="222"/>
      <c r="E3" s="223"/>
      <c r="F3" s="224"/>
      <c r="G3" s="224"/>
      <c r="H3" s="222"/>
      <c r="I3" s="225"/>
      <c r="J3" s="226"/>
      <c r="K3" s="227"/>
      <c r="L3" s="226"/>
      <c r="N3" s="310" t="s">
        <v>216</v>
      </c>
      <c r="O3" s="310"/>
      <c r="P3" s="310"/>
      <c r="Q3" s="310"/>
      <c r="R3" s="310"/>
    </row>
    <row r="4" spans="1:18" x14ac:dyDescent="0.25">
      <c r="B4" s="221"/>
      <c r="C4" s="221"/>
      <c r="D4" s="155" t="s">
        <v>149</v>
      </c>
      <c r="E4" s="161"/>
      <c r="F4" s="155" t="s">
        <v>149</v>
      </c>
      <c r="G4" s="161"/>
      <c r="H4" s="155" t="s">
        <v>149</v>
      </c>
      <c r="I4" s="204"/>
      <c r="J4" s="157" t="s">
        <v>48</v>
      </c>
      <c r="K4" s="158"/>
      <c r="L4" s="159"/>
      <c r="N4" s="309" t="s">
        <v>217</v>
      </c>
      <c r="O4" s="309"/>
      <c r="P4" s="309"/>
      <c r="Q4" s="309"/>
      <c r="R4" s="310"/>
    </row>
    <row r="5" spans="1:18" x14ac:dyDescent="0.25">
      <c r="B5" s="221"/>
      <c r="C5" s="221"/>
      <c r="D5" s="160" t="s">
        <v>189</v>
      </c>
      <c r="E5" s="161"/>
      <c r="F5" s="160" t="s">
        <v>152</v>
      </c>
      <c r="G5" s="211"/>
      <c r="H5" s="385" t="s">
        <v>152</v>
      </c>
      <c r="I5" s="204"/>
      <c r="J5" s="157" t="s">
        <v>49</v>
      </c>
      <c r="K5" s="158"/>
      <c r="L5" s="162" t="s">
        <v>48</v>
      </c>
      <c r="N5" s="310"/>
      <c r="O5" s="310"/>
      <c r="P5" s="310"/>
      <c r="Q5" s="310"/>
      <c r="R5" s="310"/>
    </row>
    <row r="6" spans="1:18" x14ac:dyDescent="0.25">
      <c r="B6" s="221"/>
      <c r="C6" s="221"/>
      <c r="D6" s="163" t="s">
        <v>209</v>
      </c>
      <c r="E6" s="161"/>
      <c r="F6" s="163" t="s">
        <v>218</v>
      </c>
      <c r="G6" s="190"/>
      <c r="H6" s="163" t="s">
        <v>224</v>
      </c>
      <c r="I6" s="190"/>
      <c r="J6" s="164" t="s">
        <v>50</v>
      </c>
      <c r="K6" s="158"/>
      <c r="L6" s="165" t="s">
        <v>51</v>
      </c>
      <c r="N6" s="310"/>
      <c r="O6" s="310"/>
      <c r="P6" s="310"/>
      <c r="Q6" s="310"/>
      <c r="R6" s="310"/>
    </row>
    <row r="7" spans="1:18" x14ac:dyDescent="0.25">
      <c r="A7" s="317" t="s">
        <v>220</v>
      </c>
      <c r="B7" s="221"/>
      <c r="C7" s="221"/>
      <c r="D7" s="228"/>
      <c r="E7" s="223"/>
      <c r="F7" s="222"/>
      <c r="G7" s="229"/>
      <c r="H7" s="222"/>
      <c r="I7" s="225"/>
      <c r="J7" s="226"/>
      <c r="K7" s="227"/>
      <c r="L7" s="226"/>
      <c r="N7" s="310"/>
      <c r="O7" s="310"/>
      <c r="P7" s="310"/>
      <c r="Q7" s="310"/>
      <c r="R7" s="310"/>
    </row>
    <row r="8" spans="1:18" x14ac:dyDescent="0.25">
      <c r="A8" s="317">
        <v>1</v>
      </c>
      <c r="B8" s="221" t="s">
        <v>99</v>
      </c>
      <c r="C8" s="221" t="s">
        <v>100</v>
      </c>
      <c r="D8" s="230">
        <f>324480680.28+3974054.1+60581563.67-323</f>
        <v>389035975.05000001</v>
      </c>
      <c r="E8" s="231"/>
      <c r="F8" s="230">
        <f>+'GF Exp by Func &amp; Mj Obj '!D9+'GF Exp by Func &amp; Mj Obj '!D17+'GF Exp by Func &amp; Mj Obj '!D24+'GF Exp by Func &amp; Mj Obj '!D31+'GF Exp by Func &amp; Mj Obj '!D38+'GF Exp by Func &amp; Mj Obj '!D45+'GF Exp by Func &amp; Mj Obj '!D59+'GF Exp by Func &amp; Mj Obj '!D66+'GF Exp by Func &amp; Mj Obj '!D73+'GF Exp by Func &amp; Mj Obj '!D84+'GF Exp by Func &amp; Mj Obj '!D88+'GF Exp by Func &amp; Mj Obj '!D96+'GF Exp by Func &amp; Mj Obj '!D104+'GF Exp by Func &amp; Mj Obj '!D119+'GF Exp by Func &amp; Mj Obj '!D127+'GF Exp by Func &amp; Mj Obj '!D135</f>
        <v>422778877.00000012</v>
      </c>
      <c r="G8" s="232"/>
      <c r="H8" s="230">
        <f>+'GF Exp by Func &amp; Mj Obj '!F9+'GF Exp by Func &amp; Mj Obj '!F17+'GF Exp by Func &amp; Mj Obj '!F24+'GF Exp by Func &amp; Mj Obj '!F31+'GF Exp by Func &amp; Mj Obj '!F38+'GF Exp by Func &amp; Mj Obj '!F45+'GF Exp by Func &amp; Mj Obj '!F59+'GF Exp by Func &amp; Mj Obj '!F66+'GF Exp by Func &amp; Mj Obj '!F73+'GF Exp by Func &amp; Mj Obj '!F84+'GF Exp by Func &amp; Mj Obj '!F88+'GF Exp by Func &amp; Mj Obj '!F96+'GF Exp by Func &amp; Mj Obj '!F104+'GF Exp by Func &amp; Mj Obj '!F119+'GF Exp by Func &amp; Mj Obj '!F127+'GF Exp by Func &amp; Mj Obj '!F135</f>
        <v>432502447</v>
      </c>
      <c r="I8" s="233"/>
      <c r="J8" s="234">
        <f>(+H8-F8)/F8</f>
        <v>2.2999185931419839E-2</v>
      </c>
      <c r="K8" s="235"/>
      <c r="L8" s="236">
        <f>+H8/H$15</f>
        <v>0.74683859098826832</v>
      </c>
    </row>
    <row r="9" spans="1:18" x14ac:dyDescent="0.25">
      <c r="A9" s="317">
        <v>2</v>
      </c>
      <c r="B9" s="221" t="s">
        <v>101</v>
      </c>
      <c r="C9" s="221" t="s">
        <v>102</v>
      </c>
      <c r="D9" s="337">
        <v>67574589.629999995</v>
      </c>
      <c r="E9" s="238"/>
      <c r="F9" s="237">
        <f>+'GF Exp by Func &amp; Mj Obj '!D10+'GF Exp by Func &amp; Mj Obj '!D18+'GF Exp by Func &amp; Mj Obj '!D25+'GF Exp by Func &amp; Mj Obj '!D32+'GF Exp by Func &amp; Mj Obj '!D39+'GF Exp by Func &amp; Mj Obj '!D46+'GF Exp by Func &amp; Mj Obj '!D67+'GF Exp by Func &amp; Mj Obj '!D74+'GF Exp by Func &amp; Mj Obj '!D89+'GF Exp by Func &amp; Mj Obj '!D97+'GF Exp by Func &amp; Mj Obj '!D105+'GF Exp by Func &amp; Mj Obj '!D120+'GF Exp by Func &amp; Mj Obj '!D128+'GF Exp by Func &amp; Mj Obj '!D136+'GF Exp by Func &amp; Mj Obj '!D147+'GF Exp by Func &amp; Mj Obj '!D160+'GF Exp by Func &amp; Mj Obj '!D164</f>
        <v>96017596</v>
      </c>
      <c r="G9" s="238"/>
      <c r="H9" s="237">
        <f>'GF Exp by Func &amp; Mj Obj '!F10+'GF Exp by Func &amp; Mj Obj '!F18+'GF Exp by Func &amp; Mj Obj '!F25+'GF Exp by Func &amp; Mj Obj '!F32+'GF Exp by Func &amp; Mj Obj '!F39+'GF Exp by Func &amp; Mj Obj '!F46+'GF Exp by Func &amp; Mj Obj '!F60+'GF Exp by Func &amp; Mj Obj '!F67+'GF Exp by Func &amp; Mj Obj '!F74+'GF Exp by Func &amp; Mj Obj '!F89+'GF Exp by Func &amp; Mj Obj '!F97+'GF Exp by Func &amp; Mj Obj '!F105+'GF Exp by Func &amp; Mj Obj '!F120+'GF Exp by Func &amp; Mj Obj '!F128+'GF Exp by Func &amp; Mj Obj '!F136+'GF Exp by Func &amp; Mj Obj '!F147+'GF Exp by Func &amp; Mj Obj '!F160+'GF Exp by Func &amp; Mj Obj '!F164</f>
        <v>120393288</v>
      </c>
      <c r="I9" s="233"/>
      <c r="J9" s="234">
        <f t="shared" ref="J9:J13" si="0">(+H9-F9)/F9</f>
        <v>0.25386692664123772</v>
      </c>
      <c r="K9" s="235"/>
      <c r="L9" s="236">
        <f>+H9/H$15</f>
        <v>0.20789328291214221</v>
      </c>
    </row>
    <row r="10" spans="1:18" x14ac:dyDescent="0.25">
      <c r="A10" s="317">
        <v>3</v>
      </c>
      <c r="B10" s="221" t="s">
        <v>103</v>
      </c>
      <c r="C10" s="221" t="s">
        <v>104</v>
      </c>
      <c r="D10" s="337">
        <v>14511887.640000001</v>
      </c>
      <c r="E10" s="238"/>
      <c r="F10" s="237">
        <f>+'GF Exp by Func &amp; Mj Obj '!D11+'GF Exp by Func &amp; Mj Obj '!D19+'GF Exp by Func &amp; Mj Obj '!D26+'GF Exp by Func &amp; Mj Obj '!D33+'GF Exp by Func &amp; Mj Obj '!D40+'GF Exp by Func &amp; Mj Obj '!D47+'GF Exp by Func &amp; Mj Obj '!D61+'GF Exp by Func &amp; Mj Obj '!D68+'GF Exp by Func &amp; Mj Obj '!D90+'GF Exp by Func &amp; Mj Obj '!D98+'GF Exp by Func &amp; Mj Obj '!D106+'GF Exp by Func &amp; Mj Obj '!D121+'GF Exp by Func &amp; Mj Obj '!D129+'GF Exp by Func &amp; Mj Obj '!D137</f>
        <v>15199312</v>
      </c>
      <c r="G10" s="238"/>
      <c r="H10" s="237">
        <f>'GF Exp by Func &amp; Mj Obj '!F11+'GF Exp by Func &amp; Mj Obj '!F19+'GF Exp by Func &amp; Mj Obj '!F26+'GF Exp by Func &amp; Mj Obj '!F33+'GF Exp by Func &amp; Mj Obj '!F40+'GF Exp by Func &amp; Mj Obj '!F47+'GF Exp by Func &amp; Mj Obj '!F61+'GF Exp by Func &amp; Mj Obj '!F68+'GF Exp by Func &amp; Mj Obj '!F75+'GF Exp by Func &amp; Mj Obj '!F90+'GF Exp by Func &amp; Mj Obj '!F98+'GF Exp by Func &amp; Mj Obj '!F106+'GF Exp by Func &amp; Mj Obj '!F121+'GF Exp by Func &amp; Mj Obj '!F129+'GF Exp by Func &amp; Mj Obj '!F137</f>
        <v>16882215</v>
      </c>
      <c r="I10" s="239"/>
      <c r="J10" s="234">
        <f t="shared" si="0"/>
        <v>0.11072231427317236</v>
      </c>
      <c r="K10" s="235"/>
      <c r="L10" s="236">
        <f t="shared" ref="L10:L13" si="1">+H10/H$15</f>
        <v>2.9151949892577158E-2</v>
      </c>
    </row>
    <row r="11" spans="1:18" x14ac:dyDescent="0.25">
      <c r="A11" s="317">
        <v>4</v>
      </c>
      <c r="B11" s="221" t="s">
        <v>105</v>
      </c>
      <c r="C11" s="221" t="s">
        <v>106</v>
      </c>
      <c r="D11" s="337">
        <f>6376414.18</f>
        <v>6376414.1799999997</v>
      </c>
      <c r="E11" s="238"/>
      <c r="F11" s="237">
        <f>'GF Exp by Func &amp; Mj Obj '!D12+'GF Exp by Func &amp; Mj Obj '!D20+'GF Exp by Func &amp; Mj Obj '!D27+'GF Exp by Func &amp; Mj Obj '!D34+'GF Exp by Func &amp; Mj Obj '!D41+'GF Exp by Func &amp; Mj Obj '!D48+'GF Exp by Func &amp; Mj Obj '!D62+'GF Exp by Func &amp; Mj Obj '!D69+'GF Exp by Func &amp; Mj Obj '!D76+'GF Exp by Func &amp; Mj Obj '!D91+'GF Exp by Func &amp; Mj Obj '!D99+'GF Exp by Func &amp; Mj Obj '!D107+'GF Exp by Func &amp; Mj Obj '!D122+'GF Exp by Func &amp; Mj Obj '!D130+'GF Exp by Func &amp; Mj Obj '!D138+'GF Exp by Func &amp; Mj Obj '!D156</f>
        <v>8854829</v>
      </c>
      <c r="G11" s="238"/>
      <c r="H11" s="237">
        <f>'GF Exp by Func &amp; Mj Obj '!F12+'GF Exp by Func &amp; Mj Obj '!F20+'GF Exp by Func &amp; Mj Obj '!F27+'GF Exp by Func &amp; Mj Obj '!F34+'GF Exp by Func &amp; Mj Obj '!F41+'GF Exp by Func &amp; Mj Obj '!F48+'GF Exp by Func &amp; Mj Obj '!F62+'GF Exp by Func &amp; Mj Obj '!F69+'GF Exp by Func &amp; Mj Obj '!F91+'GF Exp by Func &amp; Mj Obj '!F99+'GF Exp by Func &amp; Mj Obj '!F107+'GF Exp by Func &amp; Mj Obj '!F122+'GF Exp by Func &amp; Mj Obj '!F130+'GF Exp by Func &amp; Mj Obj '!F138+'GF Exp by Func &amp; Mj Obj '!F156</f>
        <v>8806680</v>
      </c>
      <c r="I11" s="239"/>
      <c r="J11" s="234">
        <f t="shared" si="0"/>
        <v>-5.437597947967149E-3</v>
      </c>
      <c r="K11" s="235"/>
      <c r="L11" s="236">
        <f t="shared" si="1"/>
        <v>1.5207239931487747E-2</v>
      </c>
    </row>
    <row r="12" spans="1:18" s="49" customFormat="1" x14ac:dyDescent="0.25">
      <c r="A12" s="317">
        <v>5</v>
      </c>
      <c r="B12" s="221" t="s">
        <v>187</v>
      </c>
      <c r="C12" s="221" t="s">
        <v>21</v>
      </c>
      <c r="D12" s="337">
        <v>0</v>
      </c>
      <c r="E12" s="238"/>
      <c r="F12" s="237">
        <f>+'GF Exp by Func &amp; Mj Obj '!D143</f>
        <v>0</v>
      </c>
      <c r="G12" s="238"/>
      <c r="H12" s="272">
        <f>+'GF Exp by Func &amp; Mj Obj '!F143</f>
        <v>0</v>
      </c>
      <c r="I12" s="239"/>
      <c r="J12" s="234">
        <v>0</v>
      </c>
      <c r="K12" s="235"/>
      <c r="L12" s="236">
        <f t="shared" si="1"/>
        <v>0</v>
      </c>
    </row>
    <row r="13" spans="1:18" x14ac:dyDescent="0.25">
      <c r="A13" s="317">
        <v>6</v>
      </c>
      <c r="B13" s="221" t="s">
        <v>107</v>
      </c>
      <c r="C13" s="240" t="s">
        <v>108</v>
      </c>
      <c r="D13" s="338">
        <v>29220602.510000002</v>
      </c>
      <c r="E13" s="238"/>
      <c r="F13" s="241">
        <f>'GF Exp by Func &amp; Mj Obj '!D13+'GF Exp by Func &amp; Mj Obj '!D108+'GF Exp by Func &amp; Mj Obj '!D123</f>
        <v>210125</v>
      </c>
      <c r="G13" s="238"/>
      <c r="H13" s="241">
        <f>'GF Exp by Func &amp; Mj Obj '!F13+'GF Exp by Func &amp; Mj Obj '!F76+'GF Exp by Func &amp; Mj Obj '!F100+'GF Exp by Func &amp; Mj Obj '!F108+'GF Exp by Func &amp; Mj Obj '!F123+'GF Exp by Func &amp; Mj Obj '!F92</f>
        <v>526375</v>
      </c>
      <c r="I13" s="239"/>
      <c r="J13" s="242">
        <f t="shared" si="0"/>
        <v>1.505056513979774</v>
      </c>
      <c r="K13" s="235"/>
      <c r="L13" s="243">
        <f t="shared" si="1"/>
        <v>9.0893627552458616E-4</v>
      </c>
    </row>
    <row r="14" spans="1:18" x14ac:dyDescent="0.25">
      <c r="B14" s="221"/>
      <c r="C14" s="221"/>
      <c r="D14" s="337"/>
      <c r="E14" s="238"/>
      <c r="F14" s="238"/>
      <c r="G14" s="238"/>
      <c r="H14" s="238"/>
      <c r="I14" s="239"/>
      <c r="J14" s="244"/>
      <c r="K14" s="235"/>
      <c r="L14" s="245"/>
    </row>
    <row r="15" spans="1:18" ht="15.75" thickBot="1" x14ac:dyDescent="0.3">
      <c r="A15" s="317">
        <v>7</v>
      </c>
      <c r="B15" s="221"/>
      <c r="C15" s="246" t="s">
        <v>95</v>
      </c>
      <c r="D15" s="247">
        <f>SUM(D8:D14)</f>
        <v>506719469.00999999</v>
      </c>
      <c r="E15" s="231"/>
      <c r="F15" s="247">
        <f>SUM(F8:F14)</f>
        <v>543060739.00000012</v>
      </c>
      <c r="G15" s="232"/>
      <c r="H15" s="247">
        <f>SUM(H8:H14)</f>
        <v>579111005</v>
      </c>
      <c r="I15" s="239"/>
      <c r="J15" s="248">
        <f>(+H15-F15)/F15</f>
        <v>6.6383487906681235E-2</v>
      </c>
      <c r="K15" s="235"/>
      <c r="L15" s="249">
        <f>SUM(L8:L14)</f>
        <v>1</v>
      </c>
    </row>
    <row r="16" spans="1:18" ht="15.75" thickTop="1" x14ac:dyDescent="0.25">
      <c r="I16" s="239"/>
    </row>
    <row r="17" spans="6:9" x14ac:dyDescent="0.25">
      <c r="F17" s="253"/>
      <c r="I17" s="239"/>
    </row>
    <row r="18" spans="6:9" x14ac:dyDescent="0.25">
      <c r="I18" s="239"/>
    </row>
    <row r="19" spans="6:9" x14ac:dyDescent="0.25">
      <c r="I19" s="239"/>
    </row>
    <row r="20" spans="6:9" x14ac:dyDescent="0.25">
      <c r="H20" s="253"/>
      <c r="I20" s="239"/>
    </row>
    <row r="21" spans="6:9" x14ac:dyDescent="0.25">
      <c r="H21" s="313"/>
      <c r="I21" s="239"/>
    </row>
    <row r="22" spans="6:9" x14ac:dyDescent="0.25">
      <c r="H22" s="312"/>
      <c r="I22" s="239"/>
    </row>
    <row r="23" spans="6:9" x14ac:dyDescent="0.25">
      <c r="I23" s="239"/>
    </row>
    <row r="24" spans="6:9" x14ac:dyDescent="0.25">
      <c r="I24" s="239"/>
    </row>
    <row r="25" spans="6:9" x14ac:dyDescent="0.25">
      <c r="I25" s="239"/>
    </row>
    <row r="26" spans="6:9" x14ac:dyDescent="0.25">
      <c r="I26" s="239"/>
    </row>
    <row r="27" spans="6:9" x14ac:dyDescent="0.25">
      <c r="I27" s="239"/>
    </row>
    <row r="28" spans="6:9" x14ac:dyDescent="0.25">
      <c r="I28" s="239"/>
    </row>
    <row r="29" spans="6:9" x14ac:dyDescent="0.25">
      <c r="I29" s="239"/>
    </row>
    <row r="30" spans="6:9" x14ac:dyDescent="0.25">
      <c r="I30" s="254"/>
    </row>
    <row r="31" spans="6:9" x14ac:dyDescent="0.25">
      <c r="I31" s="254"/>
    </row>
    <row r="32" spans="6:9" x14ac:dyDescent="0.25">
      <c r="I32" s="254"/>
    </row>
    <row r="33" spans="9:9" x14ac:dyDescent="0.25">
      <c r="I33" s="254"/>
    </row>
    <row r="34" spans="9:9" x14ac:dyDescent="0.25">
      <c r="I34" s="254"/>
    </row>
    <row r="35" spans="9:9" x14ac:dyDescent="0.25">
      <c r="I35" s="254"/>
    </row>
    <row r="36" spans="9:9" x14ac:dyDescent="0.25">
      <c r="I36" s="254"/>
    </row>
    <row r="37" spans="9:9" x14ac:dyDescent="0.25">
      <c r="I37" s="254"/>
    </row>
    <row r="38" spans="9:9" x14ac:dyDescent="0.25">
      <c r="I38" s="254"/>
    </row>
    <row r="79" spans="10:11" x14ac:dyDescent="0.25">
      <c r="J79" s="250"/>
      <c r="K79" s="152"/>
    </row>
    <row r="80" spans="10:11" x14ac:dyDescent="0.25">
      <c r="J80" s="250"/>
      <c r="K80" s="152"/>
    </row>
    <row r="81" spans="10:11" x14ac:dyDescent="0.25">
      <c r="J81" s="250"/>
      <c r="K81" s="152"/>
    </row>
    <row r="82" spans="10:11" x14ac:dyDescent="0.25">
      <c r="J82" s="250"/>
      <c r="K82" s="152"/>
    </row>
    <row r="83" spans="10:11" x14ac:dyDescent="0.25">
      <c r="J83" s="250"/>
      <c r="K83" s="152"/>
    </row>
    <row r="84" spans="10:11" x14ac:dyDescent="0.25">
      <c r="J84" s="250"/>
      <c r="K84" s="152"/>
    </row>
    <row r="85" spans="10:11" x14ac:dyDescent="0.25">
      <c r="J85" s="250"/>
      <c r="K85" s="152"/>
    </row>
    <row r="86" spans="10:11" x14ac:dyDescent="0.25">
      <c r="J86" s="250"/>
      <c r="K86" s="152"/>
    </row>
    <row r="87" spans="10:11" x14ac:dyDescent="0.25">
      <c r="J87" s="250"/>
      <c r="K87" s="152"/>
    </row>
    <row r="88" spans="10:11" x14ac:dyDescent="0.25">
      <c r="J88" s="250"/>
      <c r="K88" s="152"/>
    </row>
    <row r="89" spans="10:11" x14ac:dyDescent="0.25">
      <c r="J89" s="250"/>
      <c r="K89" s="152"/>
    </row>
    <row r="90" spans="10:11" x14ac:dyDescent="0.25">
      <c r="J90" s="250"/>
      <c r="K90" s="152"/>
    </row>
    <row r="91" spans="10:11" x14ac:dyDescent="0.25">
      <c r="J91" s="250"/>
      <c r="K91" s="152"/>
    </row>
    <row r="92" spans="10:11" x14ac:dyDescent="0.25">
      <c r="J92" s="250"/>
      <c r="K92" s="152"/>
    </row>
    <row r="93" spans="10:11" x14ac:dyDescent="0.25">
      <c r="J93" s="250"/>
      <c r="K93" s="152"/>
    </row>
    <row r="94" spans="10:11" x14ac:dyDescent="0.25">
      <c r="J94" s="250"/>
      <c r="K94" s="152"/>
    </row>
    <row r="95" spans="10:11" x14ac:dyDescent="0.25">
      <c r="J95" s="250"/>
      <c r="K95" s="152"/>
    </row>
    <row r="96" spans="10:11" x14ac:dyDescent="0.25">
      <c r="J96" s="250"/>
      <c r="K96" s="152"/>
    </row>
    <row r="97" spans="10:11" x14ac:dyDescent="0.25">
      <c r="J97" s="250"/>
      <c r="K97" s="152"/>
    </row>
    <row r="98" spans="10:11" x14ac:dyDescent="0.25">
      <c r="J98" s="250"/>
      <c r="K98" s="152"/>
    </row>
    <row r="99" spans="10:11" x14ac:dyDescent="0.25">
      <c r="J99" s="250"/>
      <c r="K99" s="152"/>
    </row>
    <row r="100" spans="10:11" x14ac:dyDescent="0.25">
      <c r="J100" s="250"/>
      <c r="K100" s="152"/>
    </row>
    <row r="101" spans="10:11" x14ac:dyDescent="0.25">
      <c r="J101" s="250"/>
      <c r="K101" s="152"/>
    </row>
    <row r="102" spans="10:11" x14ac:dyDescent="0.25">
      <c r="J102" s="250"/>
      <c r="K102" s="152"/>
    </row>
    <row r="103" spans="10:11" x14ac:dyDescent="0.25">
      <c r="J103" s="250"/>
      <c r="K103" s="152"/>
    </row>
    <row r="104" spans="10:11" x14ac:dyDescent="0.25">
      <c r="J104" s="250"/>
      <c r="K104" s="152"/>
    </row>
    <row r="105" spans="10:11" x14ac:dyDescent="0.25">
      <c r="J105" s="250"/>
      <c r="K105" s="152"/>
    </row>
    <row r="106" spans="10:11" x14ac:dyDescent="0.25">
      <c r="J106" s="250"/>
      <c r="K106" s="152"/>
    </row>
    <row r="107" spans="10:11" x14ac:dyDescent="0.25">
      <c r="J107" s="250"/>
      <c r="K107" s="152"/>
    </row>
    <row r="108" spans="10:11" x14ac:dyDescent="0.25">
      <c r="J108" s="250"/>
      <c r="K108" s="152"/>
    </row>
    <row r="109" spans="10:11" x14ac:dyDescent="0.25">
      <c r="J109" s="250"/>
      <c r="K109" s="152"/>
    </row>
    <row r="110" spans="10:11" x14ac:dyDescent="0.25">
      <c r="J110" s="250"/>
      <c r="K110" s="152"/>
    </row>
    <row r="111" spans="10:11" x14ac:dyDescent="0.25">
      <c r="J111" s="250"/>
      <c r="K111" s="152"/>
    </row>
    <row r="112" spans="10:11" x14ac:dyDescent="0.25">
      <c r="J112" s="250"/>
      <c r="K112" s="152"/>
    </row>
    <row r="113" spans="10:11" x14ac:dyDescent="0.25">
      <c r="J113" s="250"/>
      <c r="K113" s="152"/>
    </row>
    <row r="114" spans="10:11" x14ac:dyDescent="0.25">
      <c r="J114" s="250"/>
      <c r="K114" s="152"/>
    </row>
    <row r="115" spans="10:11" x14ac:dyDescent="0.25">
      <c r="J115" s="250"/>
      <c r="K115" s="152"/>
    </row>
    <row r="116" spans="10:11" x14ac:dyDescent="0.25">
      <c r="J116" s="250"/>
      <c r="K116" s="152"/>
    </row>
    <row r="117" spans="10:11" x14ac:dyDescent="0.25">
      <c r="J117" s="250"/>
      <c r="K117" s="152"/>
    </row>
    <row r="118" spans="10:11" x14ac:dyDescent="0.25">
      <c r="J118" s="250"/>
      <c r="K118" s="152"/>
    </row>
  </sheetData>
  <pageMargins left="0.7" right="0.7" top="0.75" bottom="0.75" header="0.3" footer="0.3"/>
  <pageSetup scale="92" firstPageNumber="6" orientation="portrait" r:id="rId1"/>
  <headerFooter>
    <oddFooter>&amp;C&amp;"Arial,Regular"&amp;10-7-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15"/>
  <sheetViews>
    <sheetView tabSelected="1" zoomScaleNormal="100" workbookViewId="0">
      <selection activeCell="B35" sqref="B35"/>
    </sheetView>
  </sheetViews>
  <sheetFormatPr defaultColWidth="9.140625" defaultRowHeight="15" x14ac:dyDescent="0.25"/>
  <cols>
    <col min="1" max="1" width="5.85546875" style="317" customWidth="1"/>
    <col min="2" max="2" width="5.5703125" style="88" customWidth="1"/>
    <col min="3" max="3" width="40.42578125" style="20" customWidth="1"/>
    <col min="4" max="4" width="15.5703125" style="29" customWidth="1"/>
    <col min="5" max="5" width="2" style="20" customWidth="1"/>
    <col min="6" max="6" width="14.5703125" style="29" customWidth="1"/>
    <col min="7" max="7" width="2.7109375" style="29" customWidth="1"/>
    <col min="8" max="8" width="14.5703125" style="29" hidden="1" customWidth="1"/>
    <col min="9" max="9" width="2.7109375" style="29" hidden="1" customWidth="1"/>
    <col min="10" max="10" width="14" style="29" customWidth="1"/>
    <col min="11" max="16384" width="9.140625" style="20"/>
  </cols>
  <sheetData>
    <row r="1" spans="1:11" x14ac:dyDescent="0.25">
      <c r="C1" s="386" t="s">
        <v>0</v>
      </c>
      <c r="D1" s="386"/>
      <c r="E1" s="386"/>
      <c r="F1" s="386"/>
      <c r="G1" s="386"/>
      <c r="H1" s="386"/>
      <c r="I1" s="386"/>
      <c r="J1" s="386"/>
      <c r="K1" s="5"/>
    </row>
    <row r="2" spans="1:11" x14ac:dyDescent="0.25">
      <c r="C2" s="386" t="s">
        <v>109</v>
      </c>
      <c r="D2" s="386"/>
      <c r="E2" s="386"/>
      <c r="F2" s="386"/>
      <c r="G2" s="386"/>
      <c r="H2" s="386"/>
      <c r="I2" s="386"/>
      <c r="J2" s="386"/>
      <c r="K2" s="5"/>
    </row>
    <row r="3" spans="1:11" x14ac:dyDescent="0.25">
      <c r="C3" s="386"/>
      <c r="D3" s="386"/>
      <c r="E3" s="386"/>
      <c r="F3" s="386"/>
      <c r="G3" s="386"/>
      <c r="H3" s="386"/>
      <c r="I3" s="386"/>
      <c r="J3" s="386"/>
      <c r="K3" s="5"/>
    </row>
    <row r="4" spans="1:11" x14ac:dyDescent="0.25">
      <c r="C4" s="9"/>
      <c r="D4" s="44" t="s">
        <v>1</v>
      </c>
      <c r="E4" s="5"/>
      <c r="F4" s="44" t="s">
        <v>205</v>
      </c>
      <c r="G4" s="10"/>
      <c r="H4" s="44" t="s">
        <v>44</v>
      </c>
      <c r="I4" s="11"/>
      <c r="J4" s="44" t="s">
        <v>205</v>
      </c>
      <c r="K4" s="5"/>
    </row>
    <row r="5" spans="1:11" x14ac:dyDescent="0.25">
      <c r="C5" s="9"/>
      <c r="D5" s="44" t="s">
        <v>45</v>
      </c>
      <c r="E5" s="11"/>
      <c r="F5" s="44" t="s">
        <v>227</v>
      </c>
      <c r="G5" s="10"/>
      <c r="H5" s="57" t="s">
        <v>45</v>
      </c>
      <c r="I5" s="40"/>
      <c r="J5" s="44" t="s">
        <v>2</v>
      </c>
      <c r="K5" s="5"/>
    </row>
    <row r="6" spans="1:11" x14ac:dyDescent="0.25">
      <c r="C6" s="5"/>
      <c r="D6" s="46" t="s">
        <v>209</v>
      </c>
      <c r="E6" s="12"/>
      <c r="F6" s="46" t="s">
        <v>218</v>
      </c>
      <c r="G6" s="34"/>
      <c r="H6" s="46" t="s">
        <v>162</v>
      </c>
      <c r="I6" s="40"/>
      <c r="J6" s="46" t="s">
        <v>224</v>
      </c>
      <c r="K6" s="5"/>
    </row>
    <row r="7" spans="1:11" x14ac:dyDescent="0.25">
      <c r="A7" s="317" t="s">
        <v>219</v>
      </c>
      <c r="B7" s="2" t="s">
        <v>3</v>
      </c>
      <c r="C7" s="88"/>
      <c r="D7" s="7"/>
      <c r="E7" s="6"/>
      <c r="F7" s="7"/>
      <c r="G7" s="7"/>
      <c r="H7" s="7"/>
      <c r="I7" s="40"/>
      <c r="J7" s="7"/>
      <c r="K7" s="5"/>
    </row>
    <row r="8" spans="1:11" x14ac:dyDescent="0.25">
      <c r="A8" s="317">
        <v>1</v>
      </c>
      <c r="B8" s="2" t="s">
        <v>116</v>
      </c>
      <c r="C8" s="88"/>
      <c r="D8" s="7"/>
      <c r="E8" s="6"/>
      <c r="F8" s="7"/>
      <c r="G8" s="7"/>
      <c r="H8" s="7"/>
      <c r="I8" s="40"/>
      <c r="J8" s="7"/>
      <c r="K8" s="5"/>
    </row>
    <row r="9" spans="1:11" x14ac:dyDescent="0.25">
      <c r="A9" s="317">
        <v>2</v>
      </c>
      <c r="B9" s="263">
        <v>5751</v>
      </c>
      <c r="C9" s="13" t="s">
        <v>110</v>
      </c>
      <c r="D9" s="41">
        <f>7267216.22+98787.51</f>
        <v>7366003.7299999995</v>
      </c>
      <c r="E9" s="41"/>
      <c r="F9" s="41">
        <v>10774753</v>
      </c>
      <c r="G9" s="41"/>
      <c r="H9" s="41">
        <v>10100000</v>
      </c>
      <c r="I9" s="41"/>
      <c r="J9" s="41">
        <v>1874792</v>
      </c>
      <c r="K9" s="51"/>
    </row>
    <row r="10" spans="1:11" x14ac:dyDescent="0.25">
      <c r="A10" s="317">
        <v>3</v>
      </c>
      <c r="C10" s="13" t="s">
        <v>111</v>
      </c>
      <c r="D10" s="329">
        <f>5418.21+19210.64</f>
        <v>24628.85</v>
      </c>
      <c r="E10" s="322"/>
      <c r="F10" s="329">
        <v>117453</v>
      </c>
      <c r="G10" s="329"/>
      <c r="H10" s="329">
        <v>7843</v>
      </c>
      <c r="I10" s="322"/>
      <c r="J10" s="329">
        <v>10053</v>
      </c>
      <c r="K10" s="51"/>
    </row>
    <row r="11" spans="1:11" x14ac:dyDescent="0.25">
      <c r="C11" s="13"/>
      <c r="D11" s="329"/>
      <c r="E11" s="322"/>
      <c r="F11" s="329"/>
      <c r="G11" s="329"/>
      <c r="H11" s="329"/>
      <c r="I11" s="322"/>
      <c r="J11" s="329"/>
      <c r="K11" s="51"/>
    </row>
    <row r="12" spans="1:11" x14ac:dyDescent="0.25">
      <c r="A12" s="317">
        <v>4</v>
      </c>
      <c r="C12" s="13" t="s">
        <v>114</v>
      </c>
      <c r="D12" s="330">
        <f>SUM(D9:D11)</f>
        <v>7390632.5799999991</v>
      </c>
      <c r="E12" s="322"/>
      <c r="F12" s="330">
        <f>SUM(F9:F11)</f>
        <v>10892206</v>
      </c>
      <c r="G12" s="329"/>
      <c r="H12" s="330">
        <f>SUM(H9:H11)</f>
        <v>10107843</v>
      </c>
      <c r="I12" s="322"/>
      <c r="J12" s="330">
        <f>SUM(J9:J11)</f>
        <v>1884845</v>
      </c>
      <c r="K12" s="51"/>
    </row>
    <row r="13" spans="1:11" x14ac:dyDescent="0.25">
      <c r="C13" s="13"/>
      <c r="D13" s="329"/>
      <c r="E13" s="322"/>
      <c r="F13" s="329"/>
      <c r="G13" s="329"/>
      <c r="H13" s="329"/>
      <c r="I13" s="322"/>
      <c r="J13" s="329"/>
      <c r="K13" s="51"/>
    </row>
    <row r="14" spans="1:11" x14ac:dyDescent="0.25">
      <c r="A14" s="317">
        <v>5</v>
      </c>
      <c r="B14" s="143" t="s">
        <v>117</v>
      </c>
      <c r="C14" s="13"/>
      <c r="D14" s="329"/>
      <c r="E14" s="322"/>
      <c r="F14" s="329"/>
      <c r="G14" s="329"/>
      <c r="H14" s="329"/>
      <c r="I14" s="322"/>
      <c r="J14" s="329"/>
      <c r="K14" s="51"/>
    </row>
    <row r="15" spans="1:11" x14ac:dyDescent="0.25">
      <c r="A15" s="317">
        <v>6</v>
      </c>
      <c r="B15" s="263">
        <v>5829</v>
      </c>
      <c r="C15" s="13" t="s">
        <v>112</v>
      </c>
      <c r="D15" s="329">
        <v>106303.28</v>
      </c>
      <c r="E15" s="322"/>
      <c r="F15" s="329">
        <v>111067</v>
      </c>
      <c r="G15" s="329"/>
      <c r="H15" s="329">
        <v>109688</v>
      </c>
      <c r="I15" s="322"/>
      <c r="J15" s="329">
        <v>40000</v>
      </c>
      <c r="K15" s="51"/>
    </row>
    <row r="16" spans="1:11" x14ac:dyDescent="0.25">
      <c r="A16" s="317">
        <v>7</v>
      </c>
      <c r="B16" s="263">
        <v>5831</v>
      </c>
      <c r="C16" s="13" t="s">
        <v>113</v>
      </c>
      <c r="D16" s="331">
        <v>0</v>
      </c>
      <c r="E16" s="322"/>
      <c r="F16" s="331">
        <v>0</v>
      </c>
      <c r="G16" s="331"/>
      <c r="H16" s="329">
        <v>0</v>
      </c>
      <c r="I16" s="322"/>
      <c r="J16" s="331">
        <v>0</v>
      </c>
      <c r="K16" s="51"/>
    </row>
    <row r="17" spans="1:14" x14ac:dyDescent="0.25">
      <c r="C17" s="13"/>
      <c r="D17" s="331"/>
      <c r="E17" s="322"/>
      <c r="F17" s="331"/>
      <c r="G17" s="331"/>
      <c r="H17" s="331"/>
      <c r="I17" s="322"/>
      <c r="J17" s="331"/>
      <c r="K17" s="51"/>
    </row>
    <row r="18" spans="1:14" x14ac:dyDescent="0.25">
      <c r="A18" s="317">
        <v>8</v>
      </c>
      <c r="C18" s="13" t="s">
        <v>115</v>
      </c>
      <c r="D18" s="332">
        <f>SUM(D15:D17)</f>
        <v>106303.28</v>
      </c>
      <c r="E18" s="322"/>
      <c r="F18" s="332">
        <f>SUM(F15:F17)</f>
        <v>111067</v>
      </c>
      <c r="G18" s="331"/>
      <c r="H18" s="332">
        <f>SUM(H15:H17)</f>
        <v>109688</v>
      </c>
      <c r="I18" s="322"/>
      <c r="J18" s="332">
        <f>SUM(J15:J17)</f>
        <v>40000</v>
      </c>
      <c r="K18" s="51"/>
    </row>
    <row r="19" spans="1:14" x14ac:dyDescent="0.25">
      <c r="C19" s="13"/>
      <c r="D19" s="331"/>
      <c r="E19" s="322"/>
      <c r="F19" s="331"/>
      <c r="G19" s="331"/>
      <c r="H19" s="331"/>
      <c r="I19" s="322"/>
      <c r="J19" s="331"/>
      <c r="K19" s="51"/>
    </row>
    <row r="20" spans="1:14" x14ac:dyDescent="0.25">
      <c r="A20" s="317">
        <v>9</v>
      </c>
      <c r="B20" s="35" t="s">
        <v>150</v>
      </c>
      <c r="C20" s="13"/>
      <c r="D20" s="331"/>
      <c r="E20" s="322"/>
      <c r="F20" s="331"/>
      <c r="G20" s="331"/>
      <c r="H20" s="331"/>
      <c r="I20" s="322"/>
      <c r="J20" s="331"/>
      <c r="K20" s="51"/>
    </row>
    <row r="21" spans="1:14" x14ac:dyDescent="0.25">
      <c r="A21" s="317">
        <v>10</v>
      </c>
      <c r="B21" s="39">
        <v>5921</v>
      </c>
      <c r="C21" s="13" t="s">
        <v>118</v>
      </c>
      <c r="D21" s="331">
        <v>2509956</v>
      </c>
      <c r="E21" s="322"/>
      <c r="F21" s="331">
        <v>2582101</v>
      </c>
      <c r="G21" s="331"/>
      <c r="H21" s="331">
        <v>2725036</v>
      </c>
      <c r="I21" s="322"/>
      <c r="J21" s="331">
        <v>5410575</v>
      </c>
      <c r="K21" s="51"/>
    </row>
    <row r="22" spans="1:14" x14ac:dyDescent="0.25">
      <c r="A22" s="317">
        <v>11</v>
      </c>
      <c r="B22" s="39">
        <v>5922</v>
      </c>
      <c r="C22" s="13" t="s">
        <v>119</v>
      </c>
      <c r="D22" s="331">
        <v>7432860.25</v>
      </c>
      <c r="E22" s="322"/>
      <c r="F22" s="331">
        <v>9009744</v>
      </c>
      <c r="G22" s="331"/>
      <c r="H22" s="331">
        <v>8374075</v>
      </c>
      <c r="I22" s="322"/>
      <c r="J22" s="331">
        <v>21591311</v>
      </c>
      <c r="K22" s="51"/>
    </row>
    <row r="23" spans="1:14" x14ac:dyDescent="0.25">
      <c r="A23" s="317">
        <v>12</v>
      </c>
      <c r="B23" s="39">
        <v>5923</v>
      </c>
      <c r="C23" s="13" t="s">
        <v>120</v>
      </c>
      <c r="D23" s="331">
        <v>1216470.99</v>
      </c>
      <c r="E23" s="322"/>
      <c r="F23" s="331">
        <v>1668523</v>
      </c>
      <c r="G23" s="331"/>
      <c r="H23" s="331">
        <v>1016966</v>
      </c>
      <c r="I23" s="322"/>
      <c r="J23" s="331">
        <v>1343008</v>
      </c>
      <c r="K23" s="51"/>
    </row>
    <row r="24" spans="1:14" x14ac:dyDescent="0.25">
      <c r="A24" s="317">
        <v>13</v>
      </c>
      <c r="B24" s="39">
        <v>5939</v>
      </c>
      <c r="C24" s="39" t="s">
        <v>174</v>
      </c>
      <c r="D24" s="331">
        <v>378767.83</v>
      </c>
      <c r="E24" s="322"/>
      <c r="F24" s="331">
        <v>873611</v>
      </c>
      <c r="G24" s="331"/>
      <c r="H24" s="331"/>
      <c r="I24" s="322"/>
      <c r="J24" s="331">
        <v>414108</v>
      </c>
      <c r="K24" s="51"/>
    </row>
    <row r="25" spans="1:14" x14ac:dyDescent="0.25">
      <c r="A25" s="317">
        <v>14</v>
      </c>
      <c r="B25" s="35"/>
      <c r="C25" s="13" t="s">
        <v>121</v>
      </c>
      <c r="D25" s="332">
        <f>SUM(D21:D24)</f>
        <v>11538055.07</v>
      </c>
      <c r="E25" s="322"/>
      <c r="F25" s="332">
        <f>SUM(F21:F24)</f>
        <v>14133979</v>
      </c>
      <c r="G25" s="331"/>
      <c r="H25" s="332">
        <f>SUM(H21:H24)</f>
        <v>12116077</v>
      </c>
      <c r="I25" s="322"/>
      <c r="J25" s="332">
        <f>SUM(J21:J24)</f>
        <v>28759002</v>
      </c>
      <c r="K25" s="51"/>
    </row>
    <row r="26" spans="1:14" x14ac:dyDescent="0.25">
      <c r="C26" s="88"/>
      <c r="D26" s="322"/>
      <c r="E26" s="322"/>
      <c r="F26" s="331"/>
      <c r="G26" s="322"/>
      <c r="H26" s="322"/>
      <c r="I26" s="322"/>
      <c r="J26" s="331"/>
      <c r="K26" s="51"/>
    </row>
    <row r="27" spans="1:14" x14ac:dyDescent="0.25">
      <c r="A27" s="317">
        <v>15</v>
      </c>
      <c r="C27" s="35" t="s">
        <v>188</v>
      </c>
      <c r="D27" s="321">
        <f>+D25+D18+D12</f>
        <v>19034990.93</v>
      </c>
      <c r="E27" s="322"/>
      <c r="F27" s="321">
        <f>+F25+F18+F12</f>
        <v>25137252</v>
      </c>
      <c r="G27" s="322"/>
      <c r="H27" s="321">
        <f>+H25+H18+H12</f>
        <v>22333608</v>
      </c>
      <c r="I27" s="322"/>
      <c r="J27" s="321">
        <f>+J25+J18+J12</f>
        <v>30683847</v>
      </c>
      <c r="K27" s="51"/>
    </row>
    <row r="28" spans="1:14" x14ac:dyDescent="0.25">
      <c r="C28" s="5"/>
      <c r="D28" s="322"/>
      <c r="E28" s="322"/>
      <c r="F28" s="322"/>
      <c r="G28" s="322"/>
      <c r="H28" s="322"/>
      <c r="I28" s="322"/>
      <c r="J28" s="322"/>
      <c r="K28" s="51"/>
    </row>
    <row r="29" spans="1:14" x14ac:dyDescent="0.25">
      <c r="A29" s="317">
        <v>16</v>
      </c>
      <c r="B29" s="2" t="s">
        <v>4</v>
      </c>
      <c r="D29" s="322"/>
      <c r="E29" s="322"/>
      <c r="F29" s="322"/>
      <c r="G29" s="322"/>
      <c r="H29" s="322"/>
      <c r="I29" s="322"/>
      <c r="J29" s="322"/>
      <c r="K29" s="51"/>
      <c r="N29" s="69"/>
    </row>
    <row r="30" spans="1:14" x14ac:dyDescent="0.25">
      <c r="A30" s="317">
        <v>17</v>
      </c>
      <c r="C30" s="39" t="s">
        <v>122</v>
      </c>
      <c r="D30" s="329">
        <v>8593159.4100000001</v>
      </c>
      <c r="E30" s="329"/>
      <c r="F30" s="329">
        <v>9352616</v>
      </c>
      <c r="G30" s="329"/>
      <c r="H30" s="329">
        <v>9764384</v>
      </c>
      <c r="I30" s="329"/>
      <c r="J30" s="329">
        <v>10313698</v>
      </c>
      <c r="K30" s="311"/>
      <c r="N30" s="70"/>
    </row>
    <row r="31" spans="1:14" x14ac:dyDescent="0.25">
      <c r="A31" s="317">
        <v>18</v>
      </c>
      <c r="C31" s="13" t="s">
        <v>123</v>
      </c>
      <c r="D31" s="329">
        <v>3968498.29</v>
      </c>
      <c r="E31" s="329"/>
      <c r="F31" s="329">
        <v>4226639</v>
      </c>
      <c r="G31" s="329"/>
      <c r="H31" s="329">
        <v>3709491</v>
      </c>
      <c r="I31" s="329"/>
      <c r="J31" s="329">
        <v>4340291</v>
      </c>
      <c r="K31" s="311"/>
    </row>
    <row r="32" spans="1:14" x14ac:dyDescent="0.25">
      <c r="A32" s="317">
        <v>19</v>
      </c>
      <c r="C32" s="13" t="s">
        <v>124</v>
      </c>
      <c r="D32" s="329">
        <v>7516501.5899999999</v>
      </c>
      <c r="E32" s="329"/>
      <c r="F32" s="329">
        <v>10946050</v>
      </c>
      <c r="G32" s="329"/>
      <c r="H32" s="329">
        <v>8582597</v>
      </c>
      <c r="I32" s="329"/>
      <c r="J32" s="329">
        <v>13878962</v>
      </c>
      <c r="K32" s="311"/>
    </row>
    <row r="33" spans="1:12" x14ac:dyDescent="0.25">
      <c r="A33" s="317">
        <v>20</v>
      </c>
      <c r="C33" s="13" t="s">
        <v>125</v>
      </c>
      <c r="D33" s="329">
        <v>81706.41</v>
      </c>
      <c r="E33" s="329"/>
      <c r="F33" s="329">
        <v>189299</v>
      </c>
      <c r="G33" s="329"/>
      <c r="H33" s="329">
        <v>157252</v>
      </c>
      <c r="I33" s="329"/>
      <c r="J33" s="329">
        <v>60900</v>
      </c>
      <c r="K33" s="311"/>
    </row>
    <row r="34" spans="1:12" x14ac:dyDescent="0.25">
      <c r="A34" s="317">
        <v>21</v>
      </c>
      <c r="C34" s="13" t="s">
        <v>108</v>
      </c>
      <c r="D34" s="329">
        <v>851930.99</v>
      </c>
      <c r="E34" s="329"/>
      <c r="F34" s="329">
        <v>454500</v>
      </c>
      <c r="G34" s="329"/>
      <c r="H34" s="329">
        <v>0</v>
      </c>
      <c r="I34" s="329"/>
      <c r="J34" s="329">
        <v>2000000</v>
      </c>
      <c r="K34" s="311"/>
    </row>
    <row r="35" spans="1:12" x14ac:dyDescent="0.25">
      <c r="A35" s="317">
        <v>22</v>
      </c>
      <c r="C35" s="2" t="s">
        <v>25</v>
      </c>
      <c r="D35" s="330">
        <f>SUM(D30:D34)</f>
        <v>21011796.689999998</v>
      </c>
      <c r="E35" s="333"/>
      <c r="F35" s="330">
        <f>SUM(F30:F34)</f>
        <v>25169104</v>
      </c>
      <c r="G35" s="333"/>
      <c r="H35" s="330">
        <f>SUM(H30:H34)</f>
        <v>22213724</v>
      </c>
      <c r="I35" s="329"/>
      <c r="J35" s="330">
        <f>SUM(J30:J34)</f>
        <v>30593851</v>
      </c>
      <c r="K35" s="311"/>
      <c r="L35" s="1"/>
    </row>
    <row r="36" spans="1:12" x14ac:dyDescent="0.25">
      <c r="C36" s="5"/>
      <c r="D36" s="322"/>
      <c r="E36" s="322"/>
      <c r="F36" s="322"/>
      <c r="G36" s="322"/>
      <c r="H36" s="322"/>
      <c r="I36" s="322"/>
      <c r="J36" s="322"/>
      <c r="K36" s="51"/>
      <c r="L36" s="1"/>
    </row>
    <row r="37" spans="1:12" x14ac:dyDescent="0.25">
      <c r="C37" s="5"/>
      <c r="D37" s="322"/>
      <c r="E37" s="322"/>
      <c r="F37" s="322"/>
      <c r="G37" s="322"/>
      <c r="H37" s="322"/>
      <c r="I37" s="322"/>
      <c r="J37" s="322"/>
      <c r="K37" s="5"/>
      <c r="L37" s="1"/>
    </row>
    <row r="38" spans="1:12" x14ac:dyDescent="0.25">
      <c r="A38" s="317">
        <v>23</v>
      </c>
      <c r="C38" s="2" t="s">
        <v>172</v>
      </c>
      <c r="D38" s="322"/>
      <c r="E38" s="322"/>
      <c r="F38" s="322"/>
      <c r="G38" s="322"/>
      <c r="H38" s="322"/>
      <c r="I38" s="322"/>
      <c r="J38" s="322"/>
      <c r="K38" s="5"/>
      <c r="L38" s="1"/>
    </row>
    <row r="39" spans="1:12" x14ac:dyDescent="0.25">
      <c r="A39" s="317">
        <v>24</v>
      </c>
      <c r="C39" s="2" t="s">
        <v>173</v>
      </c>
      <c r="D39" s="321">
        <f>+D27-D35</f>
        <v>-1976805.7599999979</v>
      </c>
      <c r="E39" s="322"/>
      <c r="F39" s="321">
        <f>+F27-F35</f>
        <v>-31852</v>
      </c>
      <c r="G39" s="322"/>
      <c r="H39" s="321">
        <f>+H27-H35</f>
        <v>119884</v>
      </c>
      <c r="I39" s="322"/>
      <c r="J39" s="321">
        <f>+J27-J35</f>
        <v>89996</v>
      </c>
      <c r="K39" s="5"/>
      <c r="L39" s="1"/>
    </row>
    <row r="40" spans="1:12" x14ac:dyDescent="0.25">
      <c r="C40" s="2"/>
      <c r="D40" s="322"/>
      <c r="E40" s="322"/>
      <c r="F40" s="322"/>
      <c r="G40" s="322"/>
      <c r="H40" s="322"/>
      <c r="I40" s="322"/>
      <c r="J40" s="322"/>
      <c r="K40" s="5"/>
      <c r="L40" s="1"/>
    </row>
    <row r="41" spans="1:12" x14ac:dyDescent="0.25">
      <c r="A41" s="317">
        <v>25</v>
      </c>
      <c r="C41" s="2" t="s">
        <v>185</v>
      </c>
      <c r="D41" s="322"/>
      <c r="E41" s="322"/>
      <c r="F41" s="322"/>
      <c r="G41" s="322"/>
      <c r="H41" s="322"/>
      <c r="I41" s="322"/>
      <c r="J41" s="322"/>
      <c r="K41" s="5"/>
      <c r="L41" s="1"/>
    </row>
    <row r="42" spans="1:12" x14ac:dyDescent="0.25">
      <c r="A42" s="317">
        <v>26</v>
      </c>
      <c r="C42" s="5" t="s">
        <v>29</v>
      </c>
      <c r="D42" s="322">
        <v>34094.51</v>
      </c>
      <c r="E42" s="322"/>
      <c r="F42" s="322">
        <v>0</v>
      </c>
      <c r="G42" s="322"/>
      <c r="H42" s="322">
        <v>0</v>
      </c>
      <c r="I42" s="322"/>
      <c r="J42" s="322">
        <v>0</v>
      </c>
      <c r="K42" s="5"/>
      <c r="L42" s="1"/>
    </row>
    <row r="43" spans="1:12" x14ac:dyDescent="0.25">
      <c r="A43" s="317">
        <v>27</v>
      </c>
      <c r="C43" s="5" t="s">
        <v>30</v>
      </c>
      <c r="D43" s="322">
        <v>0</v>
      </c>
      <c r="E43" s="322"/>
      <c r="F43" s="322">
        <v>0</v>
      </c>
      <c r="G43" s="322"/>
      <c r="H43" s="322">
        <v>0</v>
      </c>
      <c r="I43" s="322"/>
      <c r="J43" s="322">
        <v>0</v>
      </c>
      <c r="K43" s="5"/>
      <c r="L43" s="1"/>
    </row>
    <row r="44" spans="1:12" x14ac:dyDescent="0.25">
      <c r="A44" s="317">
        <v>28</v>
      </c>
      <c r="C44" s="16" t="s">
        <v>31</v>
      </c>
      <c r="D44" s="324">
        <f>SUM(D42:D43)</f>
        <v>34094.51</v>
      </c>
      <c r="E44" s="322"/>
      <c r="F44" s="324">
        <f>SUM(F42:F43)</f>
        <v>0</v>
      </c>
      <c r="G44" s="322"/>
      <c r="H44" s="324">
        <f>SUM(H42:H43)</f>
        <v>0</v>
      </c>
      <c r="I44" s="322"/>
      <c r="J44" s="324">
        <f>SUM(J42:J43)</f>
        <v>0</v>
      </c>
      <c r="K44" s="5"/>
      <c r="L44" s="1"/>
    </row>
    <row r="45" spans="1:12" x14ac:dyDescent="0.25">
      <c r="C45" s="5"/>
      <c r="D45" s="322"/>
      <c r="E45" s="322"/>
      <c r="F45" s="322"/>
      <c r="G45" s="322"/>
      <c r="H45" s="322"/>
      <c r="I45" s="322"/>
      <c r="J45" s="322"/>
      <c r="K45" s="5"/>
    </row>
    <row r="46" spans="1:12" x14ac:dyDescent="0.25">
      <c r="A46" s="317">
        <v>29</v>
      </c>
      <c r="C46" s="2" t="s">
        <v>201</v>
      </c>
      <c r="D46" s="322"/>
      <c r="E46" s="322"/>
      <c r="F46" s="322"/>
      <c r="G46" s="322"/>
      <c r="H46" s="322"/>
      <c r="I46" s="322"/>
      <c r="J46" s="322"/>
      <c r="K46" s="5"/>
    </row>
    <row r="47" spans="1:12" x14ac:dyDescent="0.25">
      <c r="A47" s="317">
        <v>30</v>
      </c>
      <c r="C47" s="2" t="s">
        <v>32</v>
      </c>
      <c r="D47" s="322"/>
      <c r="E47" s="322"/>
      <c r="F47" s="322"/>
      <c r="G47" s="322"/>
      <c r="H47" s="322"/>
      <c r="I47" s="322"/>
      <c r="J47" s="322"/>
      <c r="K47" s="5"/>
    </row>
    <row r="48" spans="1:12" ht="15.75" thickBot="1" x14ac:dyDescent="0.3">
      <c r="A48" s="317">
        <v>31</v>
      </c>
      <c r="C48" s="2" t="s">
        <v>33</v>
      </c>
      <c r="D48" s="326">
        <f>+D39+D44</f>
        <v>-1942711.2499999979</v>
      </c>
      <c r="E48" s="327"/>
      <c r="F48" s="326">
        <f>+F39+F44</f>
        <v>-31852</v>
      </c>
      <c r="G48" s="327"/>
      <c r="H48" s="327">
        <f>+H39+H44</f>
        <v>119884</v>
      </c>
      <c r="I48" s="328"/>
      <c r="J48" s="326">
        <f>+J39+J44</f>
        <v>89996</v>
      </c>
      <c r="K48" s="5"/>
    </row>
    <row r="49" spans="3:11" ht="15.75" thickTop="1" x14ac:dyDescent="0.25">
      <c r="C49" s="5"/>
      <c r="D49" s="14"/>
      <c r="E49" s="14"/>
      <c r="F49" s="14"/>
      <c r="G49" s="14"/>
      <c r="H49" s="14"/>
      <c r="I49" s="40"/>
      <c r="J49" s="14"/>
      <c r="K49" s="5"/>
    </row>
    <row r="50" spans="3:11" hidden="1" x14ac:dyDescent="0.25">
      <c r="C50" s="13" t="s">
        <v>34</v>
      </c>
      <c r="D50" s="30">
        <v>2495643</v>
      </c>
      <c r="E50" s="15"/>
      <c r="F50" s="14">
        <f>+D51</f>
        <v>552931.7500000021</v>
      </c>
      <c r="G50" s="14"/>
      <c r="H50" s="14">
        <f>+D51</f>
        <v>552931.7500000021</v>
      </c>
      <c r="I50" s="40"/>
      <c r="J50" s="14">
        <f>+F51</f>
        <v>521079.7500000021</v>
      </c>
      <c r="K50" s="5"/>
    </row>
    <row r="51" spans="3:11" ht="15.75" hidden="1" thickBot="1" x14ac:dyDescent="0.3">
      <c r="C51" s="2" t="s">
        <v>35</v>
      </c>
      <c r="D51" s="37">
        <f>SUM(D48:D50)</f>
        <v>552931.7500000021</v>
      </c>
      <c r="E51" s="17"/>
      <c r="F51" s="37">
        <f>SUM(F48:F50)</f>
        <v>521079.7500000021</v>
      </c>
      <c r="G51" s="17"/>
      <c r="H51" s="37">
        <f>SUM(H48:H50)</f>
        <v>672815.7500000021</v>
      </c>
      <c r="I51" s="40"/>
      <c r="J51" s="37">
        <f>SUM(J48:J50)</f>
        <v>611075.7500000021</v>
      </c>
      <c r="K51" s="5"/>
    </row>
    <row r="52" spans="3:11" hidden="1" x14ac:dyDescent="0.25">
      <c r="C52" s="5"/>
      <c r="D52" s="7"/>
      <c r="E52" s="6"/>
      <c r="F52" s="7"/>
      <c r="G52" s="7"/>
      <c r="H52" s="7"/>
      <c r="I52" s="40"/>
      <c r="J52" s="7"/>
      <c r="K52" s="5"/>
    </row>
    <row r="53" spans="3:11" x14ac:dyDescent="0.25">
      <c r="E53" s="29"/>
      <c r="J53" s="4"/>
      <c r="K53" s="29"/>
    </row>
    <row r="54" spans="3:11" x14ac:dyDescent="0.25">
      <c r="E54" s="29"/>
      <c r="J54" s="4"/>
      <c r="K54" s="29"/>
    </row>
    <row r="55" spans="3:11" x14ac:dyDescent="0.25">
      <c r="E55" s="29"/>
      <c r="J55" s="4"/>
      <c r="K55" s="29"/>
    </row>
    <row r="56" spans="3:11" x14ac:dyDescent="0.25">
      <c r="E56" s="29"/>
      <c r="J56" s="4"/>
      <c r="K56" s="29"/>
    </row>
    <row r="57" spans="3:11" x14ac:dyDescent="0.25">
      <c r="E57" s="29"/>
      <c r="J57" s="4"/>
      <c r="K57" s="29"/>
    </row>
    <row r="58" spans="3:11" x14ac:dyDescent="0.25">
      <c r="E58" s="29"/>
      <c r="J58" s="4"/>
      <c r="K58" s="29"/>
    </row>
    <row r="59" spans="3:11" x14ac:dyDescent="0.25">
      <c r="E59" s="29"/>
      <c r="K59" s="29"/>
    </row>
    <row r="60" spans="3:11" x14ac:dyDescent="0.25">
      <c r="E60" s="29"/>
      <c r="K60" s="29"/>
    </row>
    <row r="61" spans="3:11" x14ac:dyDescent="0.25">
      <c r="E61" s="29"/>
      <c r="K61" s="29"/>
    </row>
    <row r="62" spans="3:11" x14ac:dyDescent="0.25">
      <c r="E62" s="29"/>
      <c r="K62" s="29"/>
    </row>
    <row r="63" spans="3:11" x14ac:dyDescent="0.25">
      <c r="E63" s="29"/>
      <c r="K63" s="29"/>
    </row>
    <row r="64" spans="3:11" x14ac:dyDescent="0.25">
      <c r="E64" s="29"/>
      <c r="K64" s="29"/>
    </row>
    <row r="65" spans="5:12" x14ac:dyDescent="0.25">
      <c r="E65" s="29"/>
      <c r="K65" s="29"/>
    </row>
    <row r="66" spans="5:12" x14ac:dyDescent="0.25">
      <c r="E66" s="29"/>
      <c r="K66" s="29"/>
    </row>
    <row r="67" spans="5:12" x14ac:dyDescent="0.25">
      <c r="E67" s="29"/>
      <c r="K67" s="29"/>
    </row>
    <row r="68" spans="5:12" x14ac:dyDescent="0.25">
      <c r="E68" s="29"/>
      <c r="K68" s="29"/>
    </row>
    <row r="69" spans="5:12" x14ac:dyDescent="0.25">
      <c r="E69" s="29"/>
      <c r="K69" s="29"/>
    </row>
    <row r="70" spans="5:12" x14ac:dyDescent="0.25">
      <c r="E70" s="29"/>
      <c r="K70" s="29"/>
    </row>
    <row r="71" spans="5:12" x14ac:dyDescent="0.25">
      <c r="E71" s="29"/>
      <c r="K71" s="29"/>
    </row>
    <row r="72" spans="5:12" x14ac:dyDescent="0.25">
      <c r="E72" s="29"/>
      <c r="K72" s="29"/>
    </row>
    <row r="73" spans="5:12" x14ac:dyDescent="0.25">
      <c r="E73" s="29"/>
      <c r="K73" s="29"/>
    </row>
    <row r="74" spans="5:12" x14ac:dyDescent="0.25">
      <c r="E74" s="29"/>
      <c r="K74" s="29"/>
    </row>
    <row r="75" spans="5:12" x14ac:dyDescent="0.25">
      <c r="E75" s="29"/>
      <c r="K75" s="29"/>
    </row>
    <row r="76" spans="5:12" x14ac:dyDescent="0.25">
      <c r="E76" s="29"/>
      <c r="K76" s="29"/>
    </row>
    <row r="77" spans="5:12" x14ac:dyDescent="0.25">
      <c r="E77" s="29"/>
      <c r="K77" s="29"/>
      <c r="L77" s="20" t="str">
        <f>IF(D77=0,"n/a",(+J77-D77)/D77)</f>
        <v>n/a</v>
      </c>
    </row>
    <row r="78" spans="5:12" x14ac:dyDescent="0.25">
      <c r="E78" s="29"/>
      <c r="K78" s="29"/>
      <c r="L78" s="52" t="str">
        <f>IF(D78=0,"n/a",(+J78-D78)/D78)</f>
        <v>n/a</v>
      </c>
    </row>
    <row r="79" spans="5:12" x14ac:dyDescent="0.25">
      <c r="E79" s="29"/>
      <c r="K79" s="29"/>
    </row>
    <row r="80" spans="5:12" x14ac:dyDescent="0.25">
      <c r="E80" s="29"/>
      <c r="K80" s="29"/>
    </row>
    <row r="81" spans="5:11" x14ac:dyDescent="0.25">
      <c r="E81" s="29"/>
      <c r="K81" s="29"/>
    </row>
    <row r="82" spans="5:11" x14ac:dyDescent="0.25">
      <c r="E82" s="29"/>
      <c r="K82" s="29"/>
    </row>
    <row r="83" spans="5:11" x14ac:dyDescent="0.25">
      <c r="E83" s="29"/>
      <c r="K83" s="29"/>
    </row>
    <row r="84" spans="5:11" x14ac:dyDescent="0.25">
      <c r="E84" s="29"/>
      <c r="K84" s="29"/>
    </row>
    <row r="85" spans="5:11" x14ac:dyDescent="0.25">
      <c r="E85" s="29"/>
      <c r="K85" s="29"/>
    </row>
    <row r="86" spans="5:11" x14ac:dyDescent="0.25">
      <c r="E86" s="29"/>
      <c r="K86" s="29"/>
    </row>
    <row r="87" spans="5:11" x14ac:dyDescent="0.25">
      <c r="E87" s="29"/>
      <c r="K87" s="29"/>
    </row>
    <row r="88" spans="5:11" x14ac:dyDescent="0.25">
      <c r="E88" s="29"/>
      <c r="K88" s="29"/>
    </row>
    <row r="89" spans="5:11" x14ac:dyDescent="0.25">
      <c r="E89" s="29"/>
      <c r="K89" s="29"/>
    </row>
    <row r="90" spans="5:11" x14ac:dyDescent="0.25">
      <c r="E90" s="29"/>
      <c r="K90" s="29"/>
    </row>
    <row r="91" spans="5:11" x14ac:dyDescent="0.25">
      <c r="E91" s="29"/>
      <c r="K91" s="29"/>
    </row>
    <row r="92" spans="5:11" x14ac:dyDescent="0.25">
      <c r="E92" s="29"/>
      <c r="K92" s="29"/>
    </row>
    <row r="93" spans="5:11" x14ac:dyDescent="0.25">
      <c r="E93" s="29"/>
      <c r="K93" s="29"/>
    </row>
    <row r="94" spans="5:11" x14ac:dyDescent="0.25">
      <c r="E94" s="29"/>
      <c r="K94" s="29"/>
    </row>
    <row r="95" spans="5:11" x14ac:dyDescent="0.25">
      <c r="E95" s="29"/>
      <c r="K95" s="29"/>
    </row>
    <row r="96" spans="5:11" x14ac:dyDescent="0.25">
      <c r="E96" s="29"/>
      <c r="K96" s="29"/>
    </row>
    <row r="97" spans="5:11" x14ac:dyDescent="0.25">
      <c r="E97" s="29"/>
      <c r="K97" s="29"/>
    </row>
    <row r="98" spans="5:11" x14ac:dyDescent="0.25">
      <c r="E98" s="29"/>
      <c r="K98" s="29"/>
    </row>
    <row r="99" spans="5:11" x14ac:dyDescent="0.25">
      <c r="E99" s="29"/>
      <c r="K99" s="29"/>
    </row>
    <row r="100" spans="5:11" x14ac:dyDescent="0.25">
      <c r="E100" s="29"/>
      <c r="K100" s="29"/>
    </row>
    <row r="101" spans="5:11" x14ac:dyDescent="0.25">
      <c r="E101" s="29"/>
      <c r="K101" s="29"/>
    </row>
    <row r="102" spans="5:11" x14ac:dyDescent="0.25">
      <c r="E102" s="29"/>
      <c r="K102" s="29"/>
    </row>
    <row r="103" spans="5:11" x14ac:dyDescent="0.25">
      <c r="E103" s="29"/>
      <c r="K103" s="29"/>
    </row>
    <row r="104" spans="5:11" x14ac:dyDescent="0.25">
      <c r="E104" s="29"/>
      <c r="K104" s="29"/>
    </row>
    <row r="105" spans="5:11" x14ac:dyDescent="0.25">
      <c r="E105" s="29"/>
      <c r="K105" s="29"/>
    </row>
    <row r="115" spans="12:12" x14ac:dyDescent="0.25">
      <c r="L115" s="49" t="str">
        <f>IF(D115=0,"n/a",(+J115-D115)/D115)</f>
        <v>n/a</v>
      </c>
    </row>
  </sheetData>
  <mergeCells count="3">
    <mergeCell ref="C1:J1"/>
    <mergeCell ref="C2:J2"/>
    <mergeCell ref="C3:J3"/>
  </mergeCells>
  <pageMargins left="0.7" right="0.7" top="0.75" bottom="0.75" header="0.3" footer="0.3"/>
  <pageSetup scale="90" firstPageNumber="7" orientation="portrait" r:id="rId1"/>
  <headerFooter>
    <oddFooter>&amp;C&amp;"Arial,Regular"&amp;10-8-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1"/>
  <sheetViews>
    <sheetView tabSelected="1" zoomScaleNormal="100" workbookViewId="0">
      <selection activeCell="B35" sqref="B35"/>
    </sheetView>
  </sheetViews>
  <sheetFormatPr defaultColWidth="9.140625" defaultRowHeight="15" x14ac:dyDescent="0.25"/>
  <cols>
    <col min="1" max="1" width="5.85546875" style="317" customWidth="1"/>
    <col min="2" max="2" width="3.7109375" style="88" customWidth="1"/>
    <col min="3" max="3" width="40.42578125" style="88" customWidth="1"/>
    <col min="4" max="4" width="14" style="89" customWidth="1"/>
    <col min="5" max="5" width="2" style="89" customWidth="1"/>
    <col min="6" max="6" width="14.28515625" style="89" customWidth="1"/>
    <col min="7" max="7" width="2.7109375" style="89" customWidth="1"/>
    <col min="8" max="8" width="13.140625" style="89" hidden="1" customWidth="1"/>
    <col min="9" max="9" width="2.7109375" style="89" hidden="1" customWidth="1"/>
    <col min="10" max="10" width="14" style="89" customWidth="1"/>
    <col min="11" max="11" width="9.140625" style="88"/>
    <col min="12" max="13" width="9.140625" style="20"/>
    <col min="14" max="14" width="10" style="20" bestFit="1" customWidth="1"/>
    <col min="15" max="16384" width="9.140625" style="20"/>
  </cols>
  <sheetData>
    <row r="1" spans="1:18" x14ac:dyDescent="0.25">
      <c r="C1" s="386" t="s">
        <v>0</v>
      </c>
      <c r="D1" s="386"/>
      <c r="E1" s="386"/>
      <c r="F1" s="386"/>
      <c r="G1" s="386"/>
      <c r="H1" s="386"/>
      <c r="I1" s="386"/>
      <c r="J1" s="386"/>
    </row>
    <row r="2" spans="1:18" x14ac:dyDescent="0.25">
      <c r="B2" s="386" t="s">
        <v>126</v>
      </c>
      <c r="C2" s="386"/>
      <c r="D2" s="386"/>
      <c r="E2" s="386"/>
      <c r="F2" s="386"/>
      <c r="G2" s="386"/>
      <c r="H2" s="386"/>
      <c r="I2" s="386"/>
      <c r="J2" s="386"/>
      <c r="M2" s="29"/>
      <c r="N2" s="29"/>
      <c r="O2" s="29"/>
      <c r="P2" s="29"/>
      <c r="Q2" s="29"/>
      <c r="R2" s="29"/>
    </row>
    <row r="3" spans="1:18" x14ac:dyDescent="0.25">
      <c r="C3" s="18"/>
      <c r="D3" s="18"/>
      <c r="E3" s="18"/>
      <c r="F3" s="18"/>
      <c r="G3" s="18"/>
      <c r="H3" s="18"/>
      <c r="I3" s="18"/>
      <c r="J3" s="372"/>
      <c r="M3" s="29"/>
      <c r="N3" s="29"/>
      <c r="O3" s="29"/>
      <c r="P3" s="29"/>
      <c r="Q3" s="29"/>
      <c r="R3" s="29"/>
    </row>
    <row r="4" spans="1:18" x14ac:dyDescent="0.25">
      <c r="C4" s="18" t="s">
        <v>206</v>
      </c>
      <c r="D4" s="273">
        <v>0.36749999999999999</v>
      </c>
      <c r="E4" s="18"/>
      <c r="F4" s="273">
        <v>0.38090000000000002</v>
      </c>
      <c r="G4" s="18"/>
      <c r="H4" s="274">
        <v>0.38</v>
      </c>
      <c r="I4" s="72"/>
      <c r="J4" s="273">
        <v>0.38090000000000002</v>
      </c>
      <c r="M4" s="29"/>
      <c r="N4" s="29"/>
      <c r="O4" s="29"/>
      <c r="P4" s="29"/>
      <c r="Q4" s="29"/>
      <c r="R4" s="29"/>
    </row>
    <row r="5" spans="1:18" x14ac:dyDescent="0.25">
      <c r="C5" s="8"/>
      <c r="D5" s="265"/>
      <c r="E5" s="8"/>
      <c r="F5" s="8"/>
      <c r="G5" s="8"/>
      <c r="H5" s="8"/>
      <c r="I5" s="74"/>
      <c r="J5" s="265"/>
      <c r="M5" s="29"/>
      <c r="N5" s="29"/>
      <c r="O5" s="29"/>
      <c r="P5" s="29"/>
      <c r="Q5" s="29"/>
      <c r="R5" s="29"/>
    </row>
    <row r="6" spans="1:18" x14ac:dyDescent="0.25">
      <c r="C6" s="9"/>
      <c r="D6" s="38" t="s">
        <v>226</v>
      </c>
      <c r="E6" s="75"/>
      <c r="F6" s="44" t="s">
        <v>205</v>
      </c>
      <c r="G6" s="44"/>
      <c r="H6" s="44" t="s">
        <v>44</v>
      </c>
      <c r="I6" s="45"/>
      <c r="J6" s="44" t="s">
        <v>205</v>
      </c>
      <c r="M6" s="29"/>
      <c r="N6" s="29"/>
      <c r="O6" s="29"/>
      <c r="P6" s="29"/>
      <c r="Q6" s="29"/>
      <c r="R6" s="29"/>
    </row>
    <row r="7" spans="1:18" x14ac:dyDescent="0.25">
      <c r="C7" s="9"/>
      <c r="D7" s="44" t="s">
        <v>45</v>
      </c>
      <c r="E7" s="45"/>
      <c r="F7" s="44" t="s">
        <v>2</v>
      </c>
      <c r="G7" s="44"/>
      <c r="H7" s="91" t="s">
        <v>45</v>
      </c>
      <c r="I7" s="75"/>
      <c r="J7" s="44" t="s">
        <v>2</v>
      </c>
      <c r="M7" s="29"/>
      <c r="N7" s="29"/>
      <c r="O7" s="29"/>
      <c r="P7" s="29"/>
      <c r="Q7" s="29"/>
      <c r="R7" s="29"/>
    </row>
    <row r="8" spans="1:18" x14ac:dyDescent="0.25">
      <c r="A8" s="317" t="s">
        <v>219</v>
      </c>
      <c r="C8" s="75"/>
      <c r="D8" s="46" t="s">
        <v>209</v>
      </c>
      <c r="E8" s="47"/>
      <c r="F8" s="46" t="s">
        <v>218</v>
      </c>
      <c r="G8" s="34"/>
      <c r="H8" s="46" t="s">
        <v>162</v>
      </c>
      <c r="I8" s="75"/>
      <c r="J8" s="46" t="s">
        <v>224</v>
      </c>
      <c r="M8" s="29"/>
      <c r="N8" s="29"/>
      <c r="O8" s="29"/>
      <c r="P8" s="29"/>
      <c r="Q8" s="29"/>
      <c r="R8" s="29"/>
    </row>
    <row r="9" spans="1:18" x14ac:dyDescent="0.25">
      <c r="A9" s="317">
        <v>1</v>
      </c>
      <c r="B9" s="2" t="s">
        <v>3</v>
      </c>
      <c r="D9" s="65"/>
      <c r="E9" s="74"/>
      <c r="F9" s="65"/>
      <c r="G9" s="65"/>
      <c r="H9" s="65"/>
      <c r="I9" s="75"/>
      <c r="J9" s="65"/>
      <c r="M9" s="29"/>
      <c r="N9" s="29"/>
      <c r="O9" s="29"/>
      <c r="P9" s="29"/>
      <c r="Q9" s="29"/>
      <c r="R9" s="29"/>
    </row>
    <row r="10" spans="1:18" x14ac:dyDescent="0.25">
      <c r="A10" s="317">
        <v>2</v>
      </c>
      <c r="B10" s="2" t="s">
        <v>116</v>
      </c>
      <c r="D10" s="65"/>
      <c r="E10" s="74"/>
      <c r="F10" s="65"/>
      <c r="G10" s="65"/>
      <c r="H10" s="65"/>
      <c r="I10" s="75"/>
      <c r="J10" s="65"/>
      <c r="K10" s="264"/>
      <c r="M10" s="29"/>
      <c r="N10" s="29"/>
      <c r="O10" s="29"/>
      <c r="P10" s="29"/>
      <c r="Q10" s="29"/>
      <c r="R10" s="29"/>
    </row>
    <row r="11" spans="1:18" x14ac:dyDescent="0.25">
      <c r="A11" s="317">
        <v>3</v>
      </c>
      <c r="C11" s="39" t="s">
        <v>127</v>
      </c>
      <c r="D11" s="41">
        <v>154156584</v>
      </c>
      <c r="E11" s="41"/>
      <c r="F11" s="41">
        <v>165924505</v>
      </c>
      <c r="G11" s="41"/>
      <c r="H11" s="41">
        <v>124293111</v>
      </c>
      <c r="I11" s="41"/>
      <c r="J11" s="41">
        <v>160876622</v>
      </c>
      <c r="K11" s="264"/>
      <c r="M11" s="29"/>
      <c r="N11" s="29"/>
      <c r="O11" s="29"/>
      <c r="P11" s="29"/>
      <c r="Q11" s="29"/>
      <c r="R11" s="29"/>
    </row>
    <row r="12" spans="1:18" x14ac:dyDescent="0.25">
      <c r="A12" s="317">
        <v>4</v>
      </c>
      <c r="C12" s="39" t="s">
        <v>128</v>
      </c>
      <c r="D12" s="48">
        <v>999555</v>
      </c>
      <c r="E12" s="41"/>
      <c r="F12" s="48">
        <v>100000</v>
      </c>
      <c r="G12" s="48"/>
      <c r="H12" s="48">
        <v>909867</v>
      </c>
      <c r="I12" s="41"/>
      <c r="J12" s="48">
        <v>1000000</v>
      </c>
      <c r="K12" s="264"/>
      <c r="M12" s="29"/>
      <c r="N12" s="29"/>
      <c r="O12" s="29"/>
      <c r="P12" s="29"/>
      <c r="Q12" s="29"/>
      <c r="R12" s="29"/>
    </row>
    <row r="13" spans="1:18" x14ac:dyDescent="0.25">
      <c r="A13" s="317">
        <v>5</v>
      </c>
      <c r="C13" s="39" t="s">
        <v>129</v>
      </c>
      <c r="D13" s="48">
        <v>648558</v>
      </c>
      <c r="E13" s="41"/>
      <c r="F13" s="48">
        <v>100000</v>
      </c>
      <c r="G13" s="48"/>
      <c r="H13" s="48">
        <v>478185</v>
      </c>
      <c r="I13" s="41"/>
      <c r="J13" s="48">
        <v>1000000</v>
      </c>
      <c r="K13" s="264"/>
      <c r="M13" s="29"/>
      <c r="N13" s="29"/>
      <c r="O13" s="29"/>
      <c r="P13" s="29"/>
      <c r="Q13" s="29"/>
      <c r="R13" s="29"/>
    </row>
    <row r="14" spans="1:18" x14ac:dyDescent="0.25">
      <c r="A14" s="317">
        <v>6</v>
      </c>
      <c r="C14" s="39" t="s">
        <v>130</v>
      </c>
      <c r="D14" s="48">
        <v>1094841</v>
      </c>
      <c r="E14" s="41"/>
      <c r="F14" s="48">
        <v>500000</v>
      </c>
      <c r="G14" s="48"/>
      <c r="H14" s="48">
        <v>510745</v>
      </c>
      <c r="I14" s="41"/>
      <c r="J14" s="48">
        <v>135000</v>
      </c>
      <c r="K14" s="264"/>
      <c r="M14" s="29"/>
      <c r="N14" s="29"/>
      <c r="O14" s="29"/>
      <c r="P14" s="29"/>
      <c r="Q14" s="29"/>
      <c r="R14" s="29"/>
    </row>
    <row r="15" spans="1:18" x14ac:dyDescent="0.25">
      <c r="C15" s="39"/>
      <c r="D15" s="48"/>
      <c r="E15" s="41"/>
      <c r="F15" s="48"/>
      <c r="G15" s="48"/>
      <c r="H15" s="48"/>
      <c r="I15" s="41"/>
      <c r="J15" s="48"/>
      <c r="K15" s="264"/>
      <c r="M15" s="29"/>
      <c r="N15" s="29"/>
      <c r="O15" s="29"/>
      <c r="P15" s="29"/>
      <c r="Q15" s="29"/>
      <c r="R15" s="29"/>
    </row>
    <row r="16" spans="1:18" s="49" customFormat="1" x14ac:dyDescent="0.25">
      <c r="A16" s="317">
        <v>7</v>
      </c>
      <c r="B16" s="2" t="s">
        <v>117</v>
      </c>
      <c r="C16" s="39"/>
      <c r="D16" s="48"/>
      <c r="E16" s="41"/>
      <c r="F16" s="48"/>
      <c r="G16" s="48"/>
      <c r="H16" s="48"/>
      <c r="I16" s="41"/>
      <c r="J16" s="48"/>
      <c r="K16" s="264"/>
      <c r="M16" s="29"/>
      <c r="N16" s="29"/>
      <c r="O16" s="29"/>
      <c r="P16" s="29"/>
      <c r="Q16" s="29"/>
      <c r="R16" s="29"/>
    </row>
    <row r="17" spans="1:18" s="49" customFormat="1" x14ac:dyDescent="0.25">
      <c r="A17" s="317">
        <v>8</v>
      </c>
      <c r="B17" s="88"/>
      <c r="C17" s="39" t="s">
        <v>161</v>
      </c>
      <c r="D17" s="48">
        <v>1892667</v>
      </c>
      <c r="E17" s="41"/>
      <c r="F17" s="48">
        <v>0</v>
      </c>
      <c r="G17" s="48"/>
      <c r="H17" s="48">
        <v>2292127</v>
      </c>
      <c r="I17" s="41"/>
      <c r="J17" s="48"/>
      <c r="K17" s="264"/>
      <c r="M17" s="29"/>
      <c r="N17" s="29"/>
      <c r="O17" s="29"/>
      <c r="P17" s="29"/>
      <c r="Q17" s="29"/>
      <c r="R17" s="29"/>
    </row>
    <row r="18" spans="1:18" s="49" customFormat="1" x14ac:dyDescent="0.25">
      <c r="A18" s="317"/>
      <c r="B18" s="88"/>
      <c r="C18" s="39"/>
      <c r="D18" s="48"/>
      <c r="E18" s="41"/>
      <c r="F18" s="48"/>
      <c r="G18" s="48"/>
      <c r="H18" s="48"/>
      <c r="I18" s="41"/>
      <c r="J18" s="48"/>
      <c r="K18" s="264"/>
      <c r="M18" s="29"/>
      <c r="N18" s="29"/>
      <c r="O18" s="29"/>
      <c r="P18" s="29"/>
      <c r="Q18" s="29"/>
      <c r="R18" s="29"/>
    </row>
    <row r="19" spans="1:18" x14ac:dyDescent="0.25">
      <c r="A19" s="317">
        <v>9</v>
      </c>
      <c r="B19" s="2" t="s">
        <v>150</v>
      </c>
      <c r="C19" s="39"/>
      <c r="D19" s="48"/>
      <c r="E19" s="41"/>
      <c r="F19" s="48"/>
      <c r="G19" s="48"/>
      <c r="H19" s="48"/>
      <c r="I19" s="41"/>
      <c r="J19" s="48"/>
      <c r="K19" s="264"/>
      <c r="M19" s="29"/>
      <c r="N19" s="29"/>
      <c r="O19" s="29"/>
      <c r="P19" s="29"/>
      <c r="Q19" s="29"/>
      <c r="R19" s="29"/>
    </row>
    <row r="20" spans="1:18" x14ac:dyDescent="0.25">
      <c r="A20" s="317">
        <v>10</v>
      </c>
      <c r="C20" s="39" t="s">
        <v>151</v>
      </c>
      <c r="D20" s="48">
        <v>0</v>
      </c>
      <c r="E20" s="41"/>
      <c r="F20" s="48">
        <v>0</v>
      </c>
      <c r="G20" s="48"/>
      <c r="H20" s="48">
        <v>490334</v>
      </c>
      <c r="I20" s="41"/>
      <c r="J20" s="48"/>
      <c r="K20" s="264"/>
      <c r="M20" s="29"/>
      <c r="N20" s="29"/>
      <c r="O20" s="29"/>
      <c r="P20" s="29"/>
      <c r="Q20" s="29"/>
      <c r="R20" s="29"/>
    </row>
    <row r="21" spans="1:18" x14ac:dyDescent="0.25">
      <c r="C21" s="39"/>
      <c r="D21" s="48"/>
      <c r="E21" s="65"/>
      <c r="F21" s="48"/>
      <c r="G21" s="48"/>
      <c r="H21" s="48"/>
      <c r="I21" s="75"/>
      <c r="J21" s="48"/>
      <c r="K21" s="264"/>
      <c r="M21" s="29"/>
      <c r="N21" s="29"/>
      <c r="O21" s="29"/>
      <c r="P21" s="29"/>
      <c r="Q21" s="29"/>
      <c r="R21" s="29"/>
    </row>
    <row r="22" spans="1:18" x14ac:dyDescent="0.25">
      <c r="A22" s="317">
        <v>11</v>
      </c>
      <c r="C22" s="35" t="s">
        <v>188</v>
      </c>
      <c r="D22" s="77">
        <f>SUM(D11:D21)</f>
        <v>158792205</v>
      </c>
      <c r="E22" s="72"/>
      <c r="F22" s="77">
        <f>SUM(F11:F21)</f>
        <v>166624505</v>
      </c>
      <c r="G22" s="72"/>
      <c r="H22" s="77">
        <f>SUM(H11:H21)</f>
        <v>128974369</v>
      </c>
      <c r="I22" s="75"/>
      <c r="J22" s="77">
        <f>SUM(J11:J21)</f>
        <v>163011622</v>
      </c>
      <c r="K22" s="264"/>
    </row>
    <row r="23" spans="1:18" x14ac:dyDescent="0.25">
      <c r="C23" s="75"/>
      <c r="D23" s="65"/>
      <c r="E23" s="74"/>
      <c r="F23" s="65"/>
      <c r="G23" s="65"/>
      <c r="H23" s="65"/>
      <c r="I23" s="75"/>
      <c r="J23" s="65"/>
      <c r="K23" s="264"/>
    </row>
    <row r="24" spans="1:18" x14ac:dyDescent="0.25">
      <c r="A24" s="317">
        <v>12</v>
      </c>
      <c r="B24" s="2" t="s">
        <v>4</v>
      </c>
      <c r="D24" s="65"/>
      <c r="E24" s="74"/>
      <c r="F24" s="65"/>
      <c r="G24" s="65"/>
      <c r="H24" s="65"/>
      <c r="I24" s="75"/>
      <c r="J24" s="65"/>
      <c r="K24" s="264"/>
    </row>
    <row r="25" spans="1:18" x14ac:dyDescent="0.25">
      <c r="A25" s="317">
        <v>13</v>
      </c>
      <c r="C25" s="39" t="s">
        <v>131</v>
      </c>
      <c r="D25" s="48">
        <v>96021915.799999997</v>
      </c>
      <c r="E25" s="48"/>
      <c r="F25" s="48">
        <v>100355234</v>
      </c>
      <c r="G25" s="48"/>
      <c r="H25" s="48">
        <v>60063384</v>
      </c>
      <c r="I25" s="48"/>
      <c r="J25" s="48">
        <v>78607363</v>
      </c>
      <c r="K25" s="264"/>
    </row>
    <row r="26" spans="1:18" x14ac:dyDescent="0.25">
      <c r="A26" s="317">
        <v>14</v>
      </c>
      <c r="C26" s="39" t="s">
        <v>132</v>
      </c>
      <c r="D26" s="48">
        <v>61098094</v>
      </c>
      <c r="E26" s="48"/>
      <c r="F26" s="48">
        <v>66069271</v>
      </c>
      <c r="G26" s="48"/>
      <c r="H26" s="48">
        <f>22221481+34204609</f>
        <v>56426090</v>
      </c>
      <c r="I26" s="48"/>
      <c r="J26" s="48">
        <v>84204259</v>
      </c>
      <c r="K26" s="264"/>
    </row>
    <row r="27" spans="1:18" x14ac:dyDescent="0.25">
      <c r="A27" s="317">
        <v>15</v>
      </c>
      <c r="C27" s="39" t="s">
        <v>133</v>
      </c>
      <c r="D27" s="48">
        <v>30623247</v>
      </c>
      <c r="E27" s="48"/>
      <c r="F27" s="48">
        <v>200000</v>
      </c>
      <c r="G27" s="48"/>
      <c r="H27" s="48">
        <v>131014578</v>
      </c>
      <c r="I27" s="48"/>
      <c r="J27" s="48">
        <v>200000</v>
      </c>
      <c r="K27" s="264"/>
    </row>
    <row r="28" spans="1:18" x14ac:dyDescent="0.25">
      <c r="A28" s="317">
        <v>16</v>
      </c>
      <c r="C28" s="2" t="s">
        <v>25</v>
      </c>
      <c r="D28" s="61">
        <f>SUM(D25:D27)</f>
        <v>187743256.80000001</v>
      </c>
      <c r="E28" s="78"/>
      <c r="F28" s="61">
        <f>SUM(F25:F27)</f>
        <v>166624505</v>
      </c>
      <c r="G28" s="78"/>
      <c r="H28" s="61">
        <f>SUM(H25:H27)</f>
        <v>247504052</v>
      </c>
      <c r="I28" s="48"/>
      <c r="J28" s="61">
        <f>SUM(J25:J27)</f>
        <v>163011622</v>
      </c>
      <c r="K28" s="264"/>
      <c r="N28" s="55"/>
    </row>
    <row r="29" spans="1:18" x14ac:dyDescent="0.25">
      <c r="C29" s="75"/>
      <c r="D29" s="319"/>
      <c r="E29" s="320"/>
      <c r="F29" s="319"/>
      <c r="G29" s="319"/>
      <c r="H29" s="319"/>
      <c r="I29" s="1"/>
      <c r="J29" s="319"/>
      <c r="K29" s="264"/>
    </row>
    <row r="30" spans="1:18" x14ac:dyDescent="0.25">
      <c r="C30" s="75"/>
      <c r="D30" s="319"/>
      <c r="E30" s="320"/>
      <c r="F30" s="319"/>
      <c r="G30" s="319"/>
      <c r="H30" s="319"/>
      <c r="I30" s="1"/>
      <c r="J30" s="319"/>
      <c r="K30" s="264"/>
    </row>
    <row r="31" spans="1:18" x14ac:dyDescent="0.25">
      <c r="A31" s="317">
        <v>17</v>
      </c>
      <c r="C31" s="2" t="s">
        <v>172</v>
      </c>
      <c r="D31" s="319"/>
      <c r="E31" s="320"/>
      <c r="F31" s="319"/>
      <c r="G31" s="319"/>
      <c r="H31" s="319"/>
      <c r="I31" s="1"/>
      <c r="J31" s="319"/>
      <c r="K31" s="264"/>
    </row>
    <row r="32" spans="1:18" x14ac:dyDescent="0.25">
      <c r="A32" s="317">
        <v>18</v>
      </c>
      <c r="C32" s="2" t="s">
        <v>173</v>
      </c>
      <c r="D32" s="321">
        <f>+D22-D28</f>
        <v>-28951051.800000012</v>
      </c>
      <c r="E32" s="320"/>
      <c r="F32" s="321">
        <f>+F22-F28</f>
        <v>0</v>
      </c>
      <c r="G32" s="322"/>
      <c r="H32" s="321">
        <f>+H22-H28</f>
        <v>-118529683</v>
      </c>
      <c r="I32" s="1"/>
      <c r="J32" s="321">
        <f>+J22-J28</f>
        <v>0</v>
      </c>
      <c r="K32" s="264"/>
    </row>
    <row r="33" spans="1:11" x14ac:dyDescent="0.25">
      <c r="C33" s="2"/>
      <c r="D33" s="319"/>
      <c r="E33" s="320"/>
      <c r="F33" s="319"/>
      <c r="G33" s="319"/>
      <c r="H33" s="319"/>
      <c r="I33" s="1"/>
      <c r="J33" s="319"/>
      <c r="K33" s="264"/>
    </row>
    <row r="34" spans="1:11" x14ac:dyDescent="0.25">
      <c r="A34" s="317">
        <v>19</v>
      </c>
      <c r="C34" s="2" t="s">
        <v>185</v>
      </c>
      <c r="D34" s="319"/>
      <c r="E34" s="320"/>
      <c r="F34" s="319"/>
      <c r="G34" s="319"/>
      <c r="H34" s="319"/>
      <c r="I34" s="1"/>
      <c r="J34" s="319"/>
      <c r="K34" s="264"/>
    </row>
    <row r="35" spans="1:11" x14ac:dyDescent="0.25">
      <c r="A35" s="317">
        <v>20</v>
      </c>
      <c r="C35" s="75" t="s">
        <v>29</v>
      </c>
      <c r="D35" s="322">
        <v>30800451.649999999</v>
      </c>
      <c r="E35" s="320"/>
      <c r="F35" s="323">
        <v>0</v>
      </c>
      <c r="G35" s="322"/>
      <c r="H35" s="322">
        <v>0</v>
      </c>
      <c r="I35" s="1"/>
      <c r="J35" s="323">
        <v>0</v>
      </c>
      <c r="K35" s="264"/>
    </row>
    <row r="36" spans="1:11" x14ac:dyDescent="0.25">
      <c r="A36" s="317">
        <v>21</v>
      </c>
      <c r="C36" s="75" t="s">
        <v>30</v>
      </c>
      <c r="D36" s="322">
        <v>0</v>
      </c>
      <c r="E36" s="322"/>
      <c r="F36" s="323">
        <v>0</v>
      </c>
      <c r="G36" s="322"/>
      <c r="H36" s="322">
        <v>0</v>
      </c>
      <c r="I36" s="1"/>
      <c r="J36" s="323">
        <v>0</v>
      </c>
      <c r="K36" s="264"/>
    </row>
    <row r="37" spans="1:11" x14ac:dyDescent="0.25">
      <c r="A37" s="317">
        <v>22</v>
      </c>
      <c r="C37" s="16" t="s">
        <v>31</v>
      </c>
      <c r="D37" s="324">
        <f>SUM(D35:D36)</f>
        <v>30800451.649999999</v>
      </c>
      <c r="E37" s="320"/>
      <c r="F37" s="324">
        <f>SUM(F35:F36)</f>
        <v>0</v>
      </c>
      <c r="G37" s="322"/>
      <c r="H37" s="324">
        <f>+H35-H36</f>
        <v>0</v>
      </c>
      <c r="I37" s="1"/>
      <c r="J37" s="325">
        <f>SUM(J35:J36)</f>
        <v>0</v>
      </c>
      <c r="K37" s="264"/>
    </row>
    <row r="38" spans="1:11" x14ac:dyDescent="0.25">
      <c r="C38" s="75"/>
      <c r="D38" s="319"/>
      <c r="E38" s="320"/>
      <c r="F38" s="319"/>
      <c r="G38" s="319"/>
      <c r="H38" s="319"/>
      <c r="I38" s="1"/>
      <c r="J38" s="319"/>
      <c r="K38" s="264"/>
    </row>
    <row r="39" spans="1:11" x14ac:dyDescent="0.25">
      <c r="A39" s="317">
        <v>23</v>
      </c>
      <c r="C39" s="2" t="s">
        <v>201</v>
      </c>
      <c r="D39" s="319"/>
      <c r="E39" s="320"/>
      <c r="F39" s="319"/>
      <c r="G39" s="319"/>
      <c r="H39" s="319"/>
      <c r="I39" s="1"/>
      <c r="J39" s="319"/>
      <c r="K39" s="264"/>
    </row>
    <row r="40" spans="1:11" x14ac:dyDescent="0.25">
      <c r="A40" s="317">
        <v>24</v>
      </c>
      <c r="C40" s="2" t="s">
        <v>32</v>
      </c>
      <c r="D40" s="319"/>
      <c r="E40" s="320"/>
      <c r="F40" s="319"/>
      <c r="G40" s="319"/>
      <c r="H40" s="319"/>
      <c r="I40" s="1"/>
      <c r="J40" s="319"/>
      <c r="K40" s="264"/>
    </row>
    <row r="41" spans="1:11" ht="15.75" thickBot="1" x14ac:dyDescent="0.3">
      <c r="A41" s="317">
        <v>25</v>
      </c>
      <c r="C41" s="2" t="s">
        <v>33</v>
      </c>
      <c r="D41" s="326">
        <f>+D32+D37</f>
        <v>1849399.8499999866</v>
      </c>
      <c r="E41" s="327"/>
      <c r="F41" s="326">
        <f>+F32+F37</f>
        <v>0</v>
      </c>
      <c r="G41" s="327"/>
      <c r="H41" s="327">
        <f>+H32+H37</f>
        <v>-118529683</v>
      </c>
      <c r="I41" s="328"/>
      <c r="J41" s="326">
        <f>+J32+J37</f>
        <v>0</v>
      </c>
    </row>
    <row r="42" spans="1:11" ht="15.75" thickTop="1" x14ac:dyDescent="0.25">
      <c r="C42" s="75"/>
      <c r="D42" s="58"/>
      <c r="E42" s="58"/>
      <c r="F42" s="58"/>
      <c r="G42" s="58"/>
      <c r="H42" s="58"/>
      <c r="I42" s="75"/>
      <c r="J42" s="58"/>
    </row>
    <row r="43" spans="1:11" hidden="1" x14ac:dyDescent="0.25">
      <c r="C43" s="39" t="s">
        <v>34</v>
      </c>
      <c r="D43" s="85">
        <v>29411804</v>
      </c>
      <c r="E43" s="82"/>
      <c r="F43" s="58">
        <f>+D44</f>
        <v>31261203.849999987</v>
      </c>
      <c r="G43" s="58"/>
      <c r="H43" s="58">
        <f>+D44</f>
        <v>31261203.849999987</v>
      </c>
      <c r="I43" s="75"/>
      <c r="J43" s="58">
        <f>+F44</f>
        <v>31261203.849999987</v>
      </c>
    </row>
    <row r="44" spans="1:11" ht="15.75" hidden="1" thickBot="1" x14ac:dyDescent="0.3">
      <c r="C44" s="2" t="s">
        <v>35</v>
      </c>
      <c r="D44" s="86">
        <f>SUM(D41:D43)</f>
        <v>31261203.849999987</v>
      </c>
      <c r="E44" s="87"/>
      <c r="F44" s="86">
        <f>SUM(F41:F43)</f>
        <v>31261203.849999987</v>
      </c>
      <c r="G44" s="87"/>
      <c r="H44" s="86">
        <f>SUM(H41:H43)</f>
        <v>-87268479.150000006</v>
      </c>
      <c r="I44" s="75"/>
      <c r="J44" s="86">
        <f>SUM(J41:J43)</f>
        <v>31261203.849999987</v>
      </c>
    </row>
    <row r="45" spans="1:11" hidden="1" x14ac:dyDescent="0.25">
      <c r="C45" s="75"/>
      <c r="D45" s="65"/>
      <c r="E45" s="74"/>
      <c r="F45" s="65"/>
      <c r="G45" s="65"/>
      <c r="H45" s="65"/>
      <c r="I45" s="75"/>
      <c r="J45" s="65"/>
    </row>
    <row r="46" spans="1:11" hidden="1" x14ac:dyDescent="0.25">
      <c r="J46" s="65"/>
    </row>
    <row r="47" spans="1:11" x14ac:dyDescent="0.25">
      <c r="J47" s="65"/>
    </row>
    <row r="48" spans="1:11" x14ac:dyDescent="0.25">
      <c r="J48" s="65"/>
    </row>
    <row r="49" spans="10:10" x14ac:dyDescent="0.25">
      <c r="J49" s="65"/>
    </row>
    <row r="50" spans="10:10" x14ac:dyDescent="0.25">
      <c r="J50" s="65"/>
    </row>
    <row r="51" spans="10:10" x14ac:dyDescent="0.25">
      <c r="J51" s="65"/>
    </row>
  </sheetData>
  <mergeCells count="2">
    <mergeCell ref="C1:J1"/>
    <mergeCell ref="B2:J2"/>
  </mergeCells>
  <pageMargins left="0.7" right="0.7" top="0.75" bottom="0.75" header="0.3" footer="0.3"/>
  <pageSetup scale="93" firstPageNumber="8" orientation="portrait" r:id="rId1"/>
  <headerFooter>
    <oddFooter>&amp;C&amp;"Arial,Regular"&amp;10-9-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6"/>
  <sheetViews>
    <sheetView tabSelected="1" topLeftCell="A28" zoomScaleNormal="100" workbookViewId="0">
      <selection activeCell="B35" sqref="B35"/>
    </sheetView>
  </sheetViews>
  <sheetFormatPr defaultRowHeight="15" x14ac:dyDescent="0.25"/>
  <cols>
    <col min="1" max="1" width="5.85546875" style="317" bestFit="1" customWidth="1"/>
    <col min="2" max="2" width="5.5703125" customWidth="1"/>
    <col min="3" max="3" width="42.7109375" customWidth="1"/>
    <col min="4" max="4" width="16.140625" style="29" bestFit="1" customWidth="1"/>
    <col min="5" max="5" width="4.85546875" style="29" customWidth="1"/>
    <col min="6" max="6" width="16.140625" style="29" customWidth="1"/>
    <col min="7" max="7" width="2.7109375" style="29" customWidth="1"/>
    <col min="8" max="8" width="19.7109375" style="29" customWidth="1"/>
  </cols>
  <sheetData>
    <row r="1" spans="1:12" x14ac:dyDescent="0.25">
      <c r="B1" s="88"/>
      <c r="C1" s="386" t="s">
        <v>0</v>
      </c>
      <c r="D1" s="386"/>
      <c r="E1" s="386"/>
      <c r="F1" s="386"/>
      <c r="G1" s="386"/>
      <c r="H1" s="386"/>
      <c r="I1" s="5"/>
    </row>
    <row r="2" spans="1:12" x14ac:dyDescent="0.25">
      <c r="B2" s="88"/>
      <c r="C2" s="386" t="s">
        <v>39</v>
      </c>
      <c r="D2" s="386"/>
      <c r="E2" s="386"/>
      <c r="F2" s="386"/>
      <c r="G2" s="386"/>
      <c r="H2" s="386"/>
      <c r="I2" s="5"/>
    </row>
    <row r="3" spans="1:12" x14ac:dyDescent="0.25">
      <c r="B3" s="88"/>
      <c r="C3" s="387" t="s">
        <v>242</v>
      </c>
      <c r="D3" s="387"/>
      <c r="E3" s="387"/>
      <c r="F3" s="387"/>
      <c r="G3" s="387"/>
      <c r="H3" s="387"/>
      <c r="I3" s="5"/>
    </row>
    <row r="4" spans="1:12" x14ac:dyDescent="0.25">
      <c r="B4" s="88"/>
      <c r="C4" s="18"/>
      <c r="D4" s="18"/>
      <c r="E4" s="18"/>
      <c r="F4" s="18"/>
      <c r="G4" s="72"/>
      <c r="H4" s="73"/>
      <c r="I4" s="5"/>
      <c r="J4" s="29"/>
    </row>
    <row r="5" spans="1:12" x14ac:dyDescent="0.25">
      <c r="B5" s="88"/>
      <c r="C5" s="8"/>
      <c r="D5" s="8"/>
      <c r="E5" s="8"/>
      <c r="F5" s="8"/>
      <c r="G5" s="74"/>
      <c r="H5" s="65"/>
      <c r="I5" s="5"/>
      <c r="J5" s="29"/>
    </row>
    <row r="6" spans="1:12" x14ac:dyDescent="0.25">
      <c r="B6" s="88"/>
      <c r="C6" s="9"/>
      <c r="D6" s="43"/>
      <c r="E6" s="75"/>
      <c r="F6" s="44"/>
      <c r="G6" s="45"/>
      <c r="H6" s="65"/>
      <c r="I6" s="5"/>
      <c r="J6" s="29"/>
    </row>
    <row r="7" spans="1:12" x14ac:dyDescent="0.25">
      <c r="B7" s="88"/>
      <c r="C7" s="9"/>
      <c r="D7" s="44" t="s">
        <v>40</v>
      </c>
      <c r="E7" s="45"/>
      <c r="F7" s="44" t="s">
        <v>14</v>
      </c>
      <c r="G7" s="75"/>
      <c r="H7" s="44" t="s">
        <v>21</v>
      </c>
      <c r="I7" s="5"/>
    </row>
    <row r="8" spans="1:12" x14ac:dyDescent="0.25">
      <c r="B8" s="88"/>
      <c r="C8" s="75"/>
      <c r="D8" s="46" t="s">
        <v>41</v>
      </c>
      <c r="E8" s="47"/>
      <c r="F8" s="46" t="s">
        <v>41</v>
      </c>
      <c r="G8" s="75"/>
      <c r="H8" s="46" t="s">
        <v>41</v>
      </c>
      <c r="I8" s="5"/>
    </row>
    <row r="9" spans="1:12" x14ac:dyDescent="0.25">
      <c r="A9" s="317" t="s">
        <v>219</v>
      </c>
      <c r="B9" s="88"/>
      <c r="C9" s="2" t="s">
        <v>3</v>
      </c>
      <c r="D9" s="65"/>
      <c r="E9" s="74"/>
      <c r="F9" s="65"/>
      <c r="G9" s="75"/>
      <c r="H9" s="65"/>
      <c r="I9" s="5"/>
    </row>
    <row r="10" spans="1:12" x14ac:dyDescent="0.25">
      <c r="A10" s="317">
        <v>1</v>
      </c>
      <c r="B10" s="89">
        <v>5700</v>
      </c>
      <c r="C10" s="39" t="s">
        <v>36</v>
      </c>
      <c r="D10" s="41">
        <f>'GF Rev by Obj'!F8+'GF Rev by Obj'!F9+'GF Rev by Obj'!F10</f>
        <v>475440918</v>
      </c>
      <c r="E10" s="41"/>
      <c r="F10" s="41">
        <v>0</v>
      </c>
      <c r="G10" s="41"/>
      <c r="H10" s="41">
        <f>'DS Fund'!J11</f>
        <v>160876622</v>
      </c>
      <c r="I10" s="5"/>
      <c r="J10" s="29"/>
      <c r="K10" s="360"/>
      <c r="L10" s="29"/>
    </row>
    <row r="11" spans="1:12" x14ac:dyDescent="0.25">
      <c r="A11" s="317">
        <v>2</v>
      </c>
      <c r="B11" s="89">
        <v>5700</v>
      </c>
      <c r="C11" s="39" t="s">
        <v>37</v>
      </c>
      <c r="D11" s="48">
        <f>'GF Rev by Obj'!F11+'GF Rev by Obj'!F12+'GF Rev by Obj'!F13+'GF Rev by Obj'!F16+'GF Rev by Obj'!F18+'GF Rev by Obj'!F19+'GF Rev by Obj'!F22+'GF Rev by Obj'!F49</f>
        <v>15258305</v>
      </c>
      <c r="E11" s="65"/>
      <c r="F11" s="48">
        <f>'FS Fund'!J12</f>
        <v>1884845</v>
      </c>
      <c r="G11" s="75"/>
      <c r="H11" s="48">
        <f>SUM('DS Fund'!J12:J14)</f>
        <v>2135000</v>
      </c>
      <c r="I11" s="5"/>
      <c r="K11" s="50"/>
    </row>
    <row r="12" spans="1:12" x14ac:dyDescent="0.25">
      <c r="A12" s="317">
        <v>3</v>
      </c>
      <c r="B12" s="89">
        <v>5800</v>
      </c>
      <c r="C12" s="39" t="s">
        <v>38</v>
      </c>
      <c r="D12" s="76">
        <f>'GF Rev by Obj'!F33</f>
        <v>52355584</v>
      </c>
      <c r="E12" s="58"/>
      <c r="F12" s="76">
        <f>'FS Fund'!J15</f>
        <v>40000</v>
      </c>
      <c r="G12" s="75"/>
      <c r="H12" s="76">
        <f>'DS Fund'!J17</f>
        <v>0</v>
      </c>
      <c r="I12" s="5"/>
      <c r="K12" s="50"/>
    </row>
    <row r="13" spans="1:12" x14ac:dyDescent="0.25">
      <c r="A13" s="317">
        <v>4</v>
      </c>
      <c r="B13" s="89">
        <v>5900</v>
      </c>
      <c r="C13" s="39" t="s">
        <v>42</v>
      </c>
      <c r="D13" s="58">
        <f>+'GF Rev by Obj'!F42</f>
        <v>9439852</v>
      </c>
      <c r="E13" s="58"/>
      <c r="F13" s="58">
        <f>'FS Fund'!J25</f>
        <v>28759002</v>
      </c>
      <c r="G13" s="75"/>
      <c r="H13" s="76">
        <f>'DS Fund'!J20</f>
        <v>0</v>
      </c>
      <c r="I13" s="5"/>
      <c r="K13" s="50"/>
    </row>
    <row r="14" spans="1:12" x14ac:dyDescent="0.25">
      <c r="A14" s="317">
        <v>5</v>
      </c>
      <c r="B14" s="88"/>
      <c r="C14" s="35" t="s">
        <v>188</v>
      </c>
      <c r="D14" s="77">
        <f>SUM(D10:D13)</f>
        <v>552494659</v>
      </c>
      <c r="E14" s="72"/>
      <c r="F14" s="77">
        <f>SUM(F10:F13)</f>
        <v>30683847</v>
      </c>
      <c r="G14" s="75"/>
      <c r="H14" s="77">
        <f>SUM(H10:H13)</f>
        <v>163011622</v>
      </c>
      <c r="I14" s="5"/>
      <c r="K14" s="50"/>
    </row>
    <row r="15" spans="1:12" x14ac:dyDescent="0.25">
      <c r="B15" s="88"/>
      <c r="C15" s="75"/>
      <c r="D15" s="65"/>
      <c r="E15" s="74"/>
      <c r="F15" s="65"/>
      <c r="G15" s="75"/>
      <c r="H15" s="65"/>
      <c r="I15" s="5"/>
      <c r="K15" s="50"/>
    </row>
    <row r="16" spans="1:12" x14ac:dyDescent="0.25">
      <c r="B16" s="88"/>
      <c r="C16" s="2" t="s">
        <v>4</v>
      </c>
      <c r="D16" s="65"/>
      <c r="E16" s="74"/>
      <c r="F16" s="65"/>
      <c r="G16" s="75"/>
      <c r="H16" s="65"/>
      <c r="I16" s="5"/>
      <c r="K16" s="50"/>
    </row>
    <row r="17" spans="1:11" x14ac:dyDescent="0.25">
      <c r="A17" s="317">
        <v>6</v>
      </c>
      <c r="B17" s="88">
        <v>11</v>
      </c>
      <c r="C17" s="66" t="s">
        <v>5</v>
      </c>
      <c r="D17" s="56">
        <f>+'GF by funct '!F16</f>
        <v>319188242</v>
      </c>
      <c r="E17" s="48"/>
      <c r="F17" s="48">
        <v>0</v>
      </c>
      <c r="G17" s="48"/>
      <c r="H17" s="48">
        <v>0</v>
      </c>
      <c r="I17" s="5"/>
      <c r="K17" s="50"/>
    </row>
    <row r="18" spans="1:11" x14ac:dyDescent="0.25">
      <c r="A18" s="317">
        <v>7</v>
      </c>
      <c r="B18" s="88">
        <v>12</v>
      </c>
      <c r="C18" s="66" t="s">
        <v>6</v>
      </c>
      <c r="D18" s="56">
        <f>+'GF by funct '!F17</f>
        <v>6780552</v>
      </c>
      <c r="E18" s="48"/>
      <c r="F18" s="48">
        <v>0</v>
      </c>
      <c r="G18" s="48"/>
      <c r="H18" s="48">
        <v>0</v>
      </c>
      <c r="I18" s="5"/>
      <c r="K18" s="50"/>
    </row>
    <row r="19" spans="1:11" x14ac:dyDescent="0.25">
      <c r="A19" s="317">
        <v>8</v>
      </c>
      <c r="B19" s="88">
        <v>13</v>
      </c>
      <c r="C19" s="66" t="s">
        <v>7</v>
      </c>
      <c r="D19" s="56">
        <f>+'GF by funct '!F18</f>
        <v>3480943.9999999995</v>
      </c>
      <c r="E19" s="48"/>
      <c r="F19" s="48">
        <v>0</v>
      </c>
      <c r="G19" s="48"/>
      <c r="H19" s="48">
        <v>0</v>
      </c>
      <c r="I19" s="5"/>
      <c r="K19" s="50"/>
    </row>
    <row r="20" spans="1:11" x14ac:dyDescent="0.25">
      <c r="A20" s="317">
        <v>9</v>
      </c>
      <c r="B20" s="88">
        <v>21</v>
      </c>
      <c r="C20" s="66" t="s">
        <v>8</v>
      </c>
      <c r="D20" s="56">
        <f>+'GF by funct '!F19</f>
        <v>11441777.999999998</v>
      </c>
      <c r="E20" s="48"/>
      <c r="F20" s="48">
        <v>0</v>
      </c>
      <c r="G20" s="48"/>
      <c r="H20" s="48">
        <v>0</v>
      </c>
      <c r="I20" s="5"/>
      <c r="K20" s="50"/>
    </row>
    <row r="21" spans="1:11" x14ac:dyDescent="0.25">
      <c r="A21" s="317">
        <v>10</v>
      </c>
      <c r="B21" s="88">
        <v>23</v>
      </c>
      <c r="C21" s="66" t="s">
        <v>9</v>
      </c>
      <c r="D21" s="56">
        <f>+'GF by funct '!F20</f>
        <v>34735609</v>
      </c>
      <c r="E21" s="48"/>
      <c r="F21" s="48">
        <v>0</v>
      </c>
      <c r="G21" s="48"/>
      <c r="H21" s="48">
        <v>0</v>
      </c>
      <c r="I21" s="5"/>
      <c r="K21" s="50"/>
    </row>
    <row r="22" spans="1:11" x14ac:dyDescent="0.25">
      <c r="A22" s="317">
        <v>11</v>
      </c>
      <c r="B22" s="88">
        <v>31</v>
      </c>
      <c r="C22" s="66" t="s">
        <v>10</v>
      </c>
      <c r="D22" s="56">
        <f>+'GF by funct '!F21</f>
        <v>25494944.999999996</v>
      </c>
      <c r="E22" s="48"/>
      <c r="F22" s="48">
        <v>0</v>
      </c>
      <c r="G22" s="48"/>
      <c r="H22" s="48">
        <v>0</v>
      </c>
      <c r="I22" s="5"/>
      <c r="K22" s="50"/>
    </row>
    <row r="23" spans="1:11" x14ac:dyDescent="0.25">
      <c r="A23" s="317">
        <v>12</v>
      </c>
      <c r="B23" s="88">
        <v>32</v>
      </c>
      <c r="C23" s="66" t="s">
        <v>11</v>
      </c>
      <c r="D23" s="56">
        <f>+'GF by funct '!F22</f>
        <v>367667</v>
      </c>
      <c r="E23" s="48"/>
      <c r="F23" s="48">
        <v>0</v>
      </c>
      <c r="G23" s="48"/>
      <c r="H23" s="48">
        <v>0</v>
      </c>
      <c r="I23" s="5"/>
      <c r="K23" s="50"/>
    </row>
    <row r="24" spans="1:11" x14ac:dyDescent="0.25">
      <c r="A24" s="317">
        <v>13</v>
      </c>
      <c r="B24" s="88">
        <v>33</v>
      </c>
      <c r="C24" s="66" t="s">
        <v>12</v>
      </c>
      <c r="D24" s="56">
        <f>+'GF by funct '!F23</f>
        <v>6768287.0000000019</v>
      </c>
      <c r="E24" s="48"/>
      <c r="F24" s="48">
        <v>0</v>
      </c>
      <c r="G24" s="48"/>
      <c r="H24" s="48">
        <v>0</v>
      </c>
      <c r="I24" s="5"/>
      <c r="K24" s="50"/>
    </row>
    <row r="25" spans="1:11" x14ac:dyDescent="0.25">
      <c r="A25" s="317">
        <v>14</v>
      </c>
      <c r="B25" s="88">
        <v>34</v>
      </c>
      <c r="C25" s="66" t="s">
        <v>13</v>
      </c>
      <c r="D25" s="56">
        <f>+'GF by funct '!F24</f>
        <v>16042899</v>
      </c>
      <c r="E25" s="48"/>
      <c r="F25" s="48">
        <v>0</v>
      </c>
      <c r="G25" s="48"/>
      <c r="H25" s="48">
        <v>0</v>
      </c>
      <c r="I25" s="5"/>
      <c r="K25" s="50"/>
    </row>
    <row r="26" spans="1:11" x14ac:dyDescent="0.25">
      <c r="A26" s="317">
        <v>15</v>
      </c>
      <c r="B26" s="88">
        <v>35</v>
      </c>
      <c r="C26" s="66" t="s">
        <v>14</v>
      </c>
      <c r="D26" s="56">
        <f>+'GF by funct '!F25</f>
        <v>45159</v>
      </c>
      <c r="E26" s="48"/>
      <c r="F26" s="48">
        <v>29391218</v>
      </c>
      <c r="G26" s="48"/>
      <c r="H26" s="48">
        <v>0</v>
      </c>
      <c r="I26" s="5"/>
      <c r="K26" s="50"/>
    </row>
    <row r="27" spans="1:11" x14ac:dyDescent="0.25">
      <c r="A27" s="317">
        <v>16</v>
      </c>
      <c r="B27" s="88">
        <v>36</v>
      </c>
      <c r="C27" s="66" t="s">
        <v>15</v>
      </c>
      <c r="D27" s="56">
        <f>+'GF by funct '!F26</f>
        <v>12616957.999999996</v>
      </c>
      <c r="E27" s="48"/>
      <c r="F27" s="48">
        <v>0</v>
      </c>
      <c r="G27" s="48"/>
      <c r="H27" s="48">
        <v>0</v>
      </c>
      <c r="I27" s="5"/>
      <c r="K27" s="50"/>
    </row>
    <row r="28" spans="1:11" x14ac:dyDescent="0.25">
      <c r="A28" s="317">
        <v>17</v>
      </c>
      <c r="B28" s="88">
        <v>41</v>
      </c>
      <c r="C28" s="66" t="s">
        <v>16</v>
      </c>
      <c r="D28" s="56">
        <f>+'GF by funct '!F27</f>
        <v>12248438.000000002</v>
      </c>
      <c r="E28" s="48"/>
      <c r="F28" s="48">
        <v>0</v>
      </c>
      <c r="G28" s="48"/>
      <c r="H28" s="48">
        <v>0</v>
      </c>
      <c r="I28" s="5"/>
      <c r="K28" s="50"/>
    </row>
    <row r="29" spans="1:11" x14ac:dyDescent="0.25">
      <c r="A29" s="317">
        <v>18</v>
      </c>
      <c r="B29" s="88">
        <v>51</v>
      </c>
      <c r="C29" s="66" t="s">
        <v>17</v>
      </c>
      <c r="D29" s="56">
        <f>+'GF by funct '!F28</f>
        <v>44933000</v>
      </c>
      <c r="E29" s="48"/>
      <c r="F29" s="48">
        <v>1202633</v>
      </c>
      <c r="G29" s="48"/>
      <c r="H29" s="48">
        <v>0</v>
      </c>
      <c r="I29" s="5"/>
      <c r="K29" s="50"/>
    </row>
    <row r="30" spans="1:11" x14ac:dyDescent="0.25">
      <c r="A30" s="317">
        <v>19</v>
      </c>
      <c r="B30" s="88">
        <v>52</v>
      </c>
      <c r="C30" s="66" t="s">
        <v>18</v>
      </c>
      <c r="D30" s="56">
        <f>+'GF by funct '!F29</f>
        <v>3512493</v>
      </c>
      <c r="E30" s="48"/>
      <c r="F30" s="48">
        <v>0</v>
      </c>
      <c r="G30" s="48"/>
      <c r="H30" s="48">
        <v>0</v>
      </c>
      <c r="I30" s="5"/>
      <c r="K30" s="50"/>
    </row>
    <row r="31" spans="1:11" x14ac:dyDescent="0.25">
      <c r="A31" s="317">
        <v>20</v>
      </c>
      <c r="B31" s="88">
        <v>53</v>
      </c>
      <c r="C31" s="66" t="s">
        <v>19</v>
      </c>
      <c r="D31" s="56">
        <f>+'GF by funct '!F30</f>
        <v>12835431.000000002</v>
      </c>
      <c r="E31" s="48"/>
      <c r="F31" s="48">
        <v>0</v>
      </c>
      <c r="G31" s="48"/>
      <c r="H31" s="48">
        <v>0</v>
      </c>
      <c r="I31" s="5"/>
      <c r="K31" s="50"/>
    </row>
    <row r="32" spans="1:11" x14ac:dyDescent="0.25">
      <c r="A32" s="317">
        <v>21</v>
      </c>
      <c r="B32" s="88">
        <v>61</v>
      </c>
      <c r="C32" s="66" t="s">
        <v>20</v>
      </c>
      <c r="D32" s="56">
        <f>+'GF by funct '!F31</f>
        <v>6703916.0000000009</v>
      </c>
      <c r="E32" s="48"/>
      <c r="F32" s="48">
        <v>0</v>
      </c>
      <c r="G32" s="48"/>
      <c r="H32" s="48">
        <v>0</v>
      </c>
      <c r="I32" s="5"/>
      <c r="K32" s="50"/>
    </row>
    <row r="33" spans="1:11" x14ac:dyDescent="0.25">
      <c r="A33" s="317">
        <v>22</v>
      </c>
      <c r="B33" s="88">
        <v>71</v>
      </c>
      <c r="C33" s="66" t="s">
        <v>21</v>
      </c>
      <c r="D33" s="56">
        <f>+'GF by funct '!F32</f>
        <v>0</v>
      </c>
      <c r="E33" s="48"/>
      <c r="F33" s="48">
        <v>0</v>
      </c>
      <c r="G33" s="48"/>
      <c r="H33" s="48">
        <f>SUM('DS Fund'!J25:J27)</f>
        <v>163011622</v>
      </c>
      <c r="I33" s="5"/>
      <c r="J33" s="1"/>
      <c r="K33" s="50"/>
    </row>
    <row r="34" spans="1:11" x14ac:dyDescent="0.25">
      <c r="A34" s="317">
        <v>23</v>
      </c>
      <c r="B34" s="88">
        <v>81</v>
      </c>
      <c r="C34" s="66" t="s">
        <v>22</v>
      </c>
      <c r="D34" s="56">
        <f>+'GF by funct '!F33</f>
        <v>0</v>
      </c>
      <c r="E34" s="48"/>
      <c r="F34" s="48">
        <v>0</v>
      </c>
      <c r="G34" s="48"/>
      <c r="H34" s="48">
        <v>0</v>
      </c>
      <c r="I34" s="5"/>
      <c r="J34" s="1"/>
      <c r="K34" s="50"/>
    </row>
    <row r="35" spans="1:11" s="49" customFormat="1" x14ac:dyDescent="0.25">
      <c r="A35" s="317">
        <v>24</v>
      </c>
      <c r="B35" s="88">
        <v>91</v>
      </c>
      <c r="C35" s="66" t="s">
        <v>229</v>
      </c>
      <c r="D35" s="56">
        <f>'GF by funct '!F34</f>
        <v>57404687</v>
      </c>
      <c r="E35" s="48"/>
      <c r="F35" s="48">
        <v>0</v>
      </c>
      <c r="G35" s="48"/>
      <c r="H35" s="48">
        <v>0</v>
      </c>
      <c r="I35" s="5"/>
      <c r="J35" s="1"/>
      <c r="K35" s="50"/>
    </row>
    <row r="36" spans="1:11" x14ac:dyDescent="0.25">
      <c r="A36" s="317">
        <v>25</v>
      </c>
      <c r="B36" s="88">
        <v>93</v>
      </c>
      <c r="C36" s="66" t="s">
        <v>23</v>
      </c>
      <c r="D36" s="56">
        <f>+'GF by funct '!F35</f>
        <v>210000</v>
      </c>
      <c r="E36" s="48"/>
      <c r="F36" s="48">
        <v>0</v>
      </c>
      <c r="G36" s="48"/>
      <c r="H36" s="48">
        <v>0</v>
      </c>
      <c r="I36" s="5"/>
      <c r="J36" s="1"/>
      <c r="K36" s="50"/>
    </row>
    <row r="37" spans="1:11" x14ac:dyDescent="0.25">
      <c r="A37" s="317">
        <v>26</v>
      </c>
      <c r="B37" s="88">
        <v>95</v>
      </c>
      <c r="C37" s="66" t="s">
        <v>190</v>
      </c>
      <c r="D37" s="56">
        <f>+'GF by funct '!F36</f>
        <v>200000</v>
      </c>
      <c r="E37" s="48"/>
      <c r="F37" s="48">
        <v>0</v>
      </c>
      <c r="G37" s="48"/>
      <c r="H37" s="48">
        <v>0</v>
      </c>
      <c r="I37" s="5"/>
      <c r="J37" s="1"/>
      <c r="K37" s="50"/>
    </row>
    <row r="38" spans="1:11" x14ac:dyDescent="0.25">
      <c r="A38" s="317">
        <v>27</v>
      </c>
      <c r="B38" s="88">
        <v>99</v>
      </c>
      <c r="C38" s="66" t="s">
        <v>24</v>
      </c>
      <c r="D38" s="56">
        <f>+'GF by funct '!F37</f>
        <v>4100000</v>
      </c>
      <c r="E38" s="48"/>
      <c r="F38" s="48">
        <v>0</v>
      </c>
      <c r="G38" s="48"/>
      <c r="H38" s="48">
        <v>0</v>
      </c>
      <c r="I38" s="5"/>
      <c r="J38" s="19"/>
      <c r="K38" s="50"/>
    </row>
    <row r="39" spans="1:11" x14ac:dyDescent="0.25">
      <c r="A39" s="317">
        <v>28</v>
      </c>
      <c r="B39" s="88"/>
      <c r="C39" s="2" t="s">
        <v>25</v>
      </c>
      <c r="D39" s="61">
        <f>SUM(D17:D38)</f>
        <v>579111005</v>
      </c>
      <c r="E39" s="78"/>
      <c r="F39" s="61">
        <f>SUM(F17:F38)</f>
        <v>30593851</v>
      </c>
      <c r="G39" s="48"/>
      <c r="H39" s="61">
        <f>SUM(H17:H38)</f>
        <v>163011622</v>
      </c>
      <c r="I39" s="5"/>
      <c r="J39" s="1"/>
    </row>
    <row r="40" spans="1:11" x14ac:dyDescent="0.25">
      <c r="B40" s="88"/>
      <c r="C40" s="75"/>
      <c r="D40" s="65"/>
      <c r="E40" s="74"/>
      <c r="F40" s="65"/>
      <c r="G40" s="75"/>
      <c r="H40" s="65"/>
      <c r="I40" s="5"/>
      <c r="J40" s="1"/>
    </row>
    <row r="41" spans="1:11" hidden="1" x14ac:dyDescent="0.25">
      <c r="B41" s="88"/>
      <c r="C41" s="75"/>
      <c r="D41" s="65"/>
      <c r="E41" s="74"/>
      <c r="F41" s="65"/>
      <c r="G41" s="75"/>
      <c r="H41" s="65"/>
      <c r="I41" s="5"/>
      <c r="J41" s="1"/>
    </row>
    <row r="42" spans="1:11" hidden="1" x14ac:dyDescent="0.25">
      <c r="B42" s="88"/>
      <c r="C42" s="2" t="s">
        <v>26</v>
      </c>
      <c r="D42" s="65"/>
      <c r="E42" s="74"/>
      <c r="F42" s="65"/>
      <c r="G42" s="75"/>
      <c r="H42" s="65"/>
      <c r="I42" s="5"/>
      <c r="J42" s="1"/>
    </row>
    <row r="43" spans="1:11" hidden="1" x14ac:dyDescent="0.25">
      <c r="B43" s="88"/>
      <c r="C43" s="2" t="s">
        <v>27</v>
      </c>
      <c r="D43" s="79">
        <f>+D14-D39</f>
        <v>-26616346</v>
      </c>
      <c r="E43" s="74"/>
      <c r="F43" s="79">
        <f>+F14-F39</f>
        <v>89996</v>
      </c>
      <c r="G43" s="75"/>
      <c r="H43" s="79">
        <f>+H14-H39</f>
        <v>0</v>
      </c>
      <c r="I43" s="5"/>
      <c r="J43" s="1"/>
    </row>
    <row r="44" spans="1:11" hidden="1" x14ac:dyDescent="0.25">
      <c r="B44" s="88"/>
      <c r="C44" s="2"/>
      <c r="D44" s="65"/>
      <c r="E44" s="74"/>
      <c r="F44" s="65"/>
      <c r="G44" s="75"/>
      <c r="H44" s="65"/>
      <c r="I44" s="5"/>
      <c r="J44" s="1"/>
    </row>
    <row r="45" spans="1:11" hidden="1" x14ac:dyDescent="0.25">
      <c r="B45" s="88"/>
      <c r="C45" s="2" t="s">
        <v>28</v>
      </c>
      <c r="D45" s="65"/>
      <c r="E45" s="74"/>
      <c r="F45" s="65"/>
      <c r="G45" s="75"/>
      <c r="H45" s="65"/>
      <c r="I45" s="5"/>
      <c r="J45" s="1"/>
    </row>
    <row r="46" spans="1:11" hidden="1" x14ac:dyDescent="0.25">
      <c r="B46" s="88"/>
      <c r="C46" s="75" t="s">
        <v>29</v>
      </c>
      <c r="D46" s="58">
        <v>0</v>
      </c>
      <c r="E46" s="74"/>
      <c r="F46" s="58">
        <v>0</v>
      </c>
      <c r="G46" s="75"/>
      <c r="H46" s="58"/>
      <c r="I46" s="5"/>
      <c r="J46" s="1"/>
    </row>
    <row r="47" spans="1:11" hidden="1" x14ac:dyDescent="0.25">
      <c r="B47" s="88"/>
      <c r="C47" s="75" t="s">
        <v>30</v>
      </c>
      <c r="D47" s="58">
        <v>0</v>
      </c>
      <c r="E47" s="58"/>
      <c r="F47" s="58">
        <v>0</v>
      </c>
      <c r="G47" s="75"/>
      <c r="H47" s="58"/>
      <c r="I47" s="5"/>
      <c r="J47" s="1"/>
    </row>
    <row r="48" spans="1:11" hidden="1" x14ac:dyDescent="0.25">
      <c r="B48" s="88"/>
      <c r="C48" s="16" t="s">
        <v>31</v>
      </c>
      <c r="D48" s="80">
        <f>+D46-D47</f>
        <v>0</v>
      </c>
      <c r="E48" s="72"/>
      <c r="F48" s="80">
        <f>+F46-F47</f>
        <v>0</v>
      </c>
      <c r="G48" s="75"/>
      <c r="H48" s="80">
        <f>+H46-H47</f>
        <v>0</v>
      </c>
      <c r="I48" s="5"/>
      <c r="J48" s="1"/>
    </row>
    <row r="49" spans="1:10" hidden="1" x14ac:dyDescent="0.25">
      <c r="B49" s="88"/>
      <c r="C49" s="75"/>
      <c r="D49" s="65"/>
      <c r="E49" s="74"/>
      <c r="F49" s="65"/>
      <c r="G49" s="75"/>
      <c r="H49" s="65"/>
      <c r="I49" s="5"/>
    </row>
    <row r="50" spans="1:10" x14ac:dyDescent="0.25">
      <c r="B50" s="88"/>
      <c r="C50" s="88"/>
      <c r="D50" s="65"/>
      <c r="E50" s="74"/>
      <c r="F50" s="65"/>
      <c r="G50" s="75"/>
      <c r="H50" s="65"/>
      <c r="I50" s="5"/>
    </row>
    <row r="51" spans="1:10" x14ac:dyDescent="0.25">
      <c r="B51" s="88"/>
      <c r="C51" s="2" t="s">
        <v>191</v>
      </c>
      <c r="D51" s="65"/>
      <c r="E51" s="74"/>
      <c r="F51" s="65"/>
      <c r="G51" s="75"/>
      <c r="H51" s="65"/>
      <c r="I51" s="5"/>
    </row>
    <row r="52" spans="1:10" x14ac:dyDescent="0.25">
      <c r="A52" s="317">
        <v>29</v>
      </c>
      <c r="B52" s="88"/>
      <c r="C52" s="2" t="s">
        <v>153</v>
      </c>
      <c r="D52" s="81">
        <f>+D43+D48</f>
        <v>-26616346</v>
      </c>
      <c r="E52" s="82"/>
      <c r="F52" s="81">
        <f>+F43+F48</f>
        <v>89996</v>
      </c>
      <c r="G52" s="75"/>
      <c r="H52" s="81">
        <f>+H43+H48</f>
        <v>0</v>
      </c>
      <c r="I52" s="5"/>
    </row>
    <row r="53" spans="1:10" s="49" customFormat="1" x14ac:dyDescent="0.25">
      <c r="A53" s="317"/>
      <c r="B53" s="88"/>
      <c r="C53" s="2"/>
      <c r="D53" s="82"/>
      <c r="E53" s="82"/>
      <c r="F53" s="82"/>
      <c r="G53" s="75"/>
      <c r="H53" s="82"/>
      <c r="I53" s="5"/>
    </row>
    <row r="54" spans="1:10" s="49" customFormat="1" x14ac:dyDescent="0.25">
      <c r="A54" s="317"/>
      <c r="B54" s="88"/>
      <c r="C54" s="2" t="s">
        <v>185</v>
      </c>
      <c r="D54" s="65"/>
      <c r="E54" s="74"/>
      <c r="F54" s="65"/>
      <c r="G54" s="75"/>
      <c r="H54" s="65"/>
      <c r="I54" s="5"/>
      <c r="J54" s="1"/>
    </row>
    <row r="55" spans="1:10" s="49" customFormat="1" x14ac:dyDescent="0.25">
      <c r="A55" s="317">
        <v>30</v>
      </c>
      <c r="B55" s="88"/>
      <c r="C55" s="75" t="s">
        <v>29</v>
      </c>
      <c r="D55" s="56">
        <v>0</v>
      </c>
      <c r="E55" s="267"/>
      <c r="F55" s="268">
        <f>+'FS Fund'!J42</f>
        <v>0</v>
      </c>
      <c r="G55" s="267"/>
      <c r="H55" s="48">
        <f>+'DS Fund'!J35</f>
        <v>0</v>
      </c>
      <c r="I55" s="5"/>
      <c r="J55" s="1"/>
    </row>
    <row r="56" spans="1:10" s="49" customFormat="1" x14ac:dyDescent="0.25">
      <c r="A56" s="317">
        <v>31</v>
      </c>
      <c r="B56" s="88"/>
      <c r="C56" s="75" t="s">
        <v>30</v>
      </c>
      <c r="D56" s="56">
        <f>+'GF by funct '!F46</f>
        <v>0</v>
      </c>
      <c r="E56" s="267"/>
      <c r="F56" s="268">
        <v>0</v>
      </c>
      <c r="G56" s="267"/>
      <c r="H56" s="48">
        <f>+'DS Fund'!J36</f>
        <v>0</v>
      </c>
      <c r="I56" s="5"/>
      <c r="J56" s="1"/>
    </row>
    <row r="57" spans="1:10" s="49" customFormat="1" x14ac:dyDescent="0.25">
      <c r="A57" s="317">
        <v>32</v>
      </c>
      <c r="B57" s="88"/>
      <c r="C57" s="16" t="s">
        <v>31</v>
      </c>
      <c r="D57" s="266">
        <f>SUM(D55:D56)</f>
        <v>0</v>
      </c>
      <c r="E57" s="267"/>
      <c r="F57" s="266">
        <f>+F55-F56</f>
        <v>0</v>
      </c>
      <c r="G57" s="267"/>
      <c r="H57" s="266">
        <f>SUM(H55:H56)</f>
        <v>0</v>
      </c>
      <c r="I57" s="5"/>
      <c r="J57" s="1"/>
    </row>
    <row r="58" spans="1:10" s="49" customFormat="1" x14ac:dyDescent="0.25">
      <c r="A58" s="317"/>
      <c r="B58" s="88"/>
      <c r="C58" s="16"/>
      <c r="D58" s="83"/>
      <c r="E58" s="83"/>
      <c r="F58" s="83"/>
      <c r="G58" s="83"/>
      <c r="H58" s="83"/>
      <c r="I58" s="5"/>
      <c r="J58" s="1"/>
    </row>
    <row r="59" spans="1:10" s="49" customFormat="1" ht="15.75" thickBot="1" x14ac:dyDescent="0.3">
      <c r="A59" s="317">
        <v>33</v>
      </c>
      <c r="B59" s="88"/>
      <c r="C59" s="2" t="s">
        <v>156</v>
      </c>
      <c r="D59" s="84">
        <f>+D52+D57</f>
        <v>-26616346</v>
      </c>
      <c r="E59" s="83"/>
      <c r="F59" s="84">
        <f>+F52+F57</f>
        <v>89996</v>
      </c>
      <c r="G59" s="83"/>
      <c r="H59" s="84">
        <f>+H52+H57</f>
        <v>0</v>
      </c>
      <c r="I59" s="5"/>
      <c r="J59" s="1"/>
    </row>
    <row r="60" spans="1:10" ht="15.75" thickTop="1" x14ac:dyDescent="0.25">
      <c r="B60" s="88"/>
      <c r="C60" s="75"/>
      <c r="D60" s="58"/>
      <c r="E60" s="58"/>
      <c r="F60" s="58"/>
      <c r="G60" s="75"/>
      <c r="H60" s="58"/>
      <c r="I60" s="5"/>
    </row>
    <row r="61" spans="1:10" hidden="1" x14ac:dyDescent="0.25">
      <c r="B61" s="88"/>
      <c r="C61" s="39" t="s">
        <v>34</v>
      </c>
      <c r="D61" s="85" t="e">
        <f>+'GF by funct '!F51</f>
        <v>#REF!</v>
      </c>
      <c r="E61" s="82"/>
      <c r="F61" s="58">
        <f>+'FS Fund'!J50</f>
        <v>521079.7500000021</v>
      </c>
      <c r="G61" s="75"/>
      <c r="H61" s="58">
        <f>+'DS Fund'!J43</f>
        <v>31261203.849999987</v>
      </c>
      <c r="I61" s="5"/>
    </row>
    <row r="62" spans="1:10" ht="15.75" hidden="1" thickBot="1" x14ac:dyDescent="0.3">
      <c r="B62" s="88"/>
      <c r="C62" s="2" t="s">
        <v>35</v>
      </c>
      <c r="D62" s="86" t="e">
        <f>SUM(D59:D61)</f>
        <v>#REF!</v>
      </c>
      <c r="E62" s="87"/>
      <c r="F62" s="86">
        <f>SUM(F59:F61)</f>
        <v>611075.7500000021</v>
      </c>
      <c r="G62" s="75"/>
      <c r="H62" s="86">
        <f>SUM(H59:H61)</f>
        <v>31261203.849999987</v>
      </c>
      <c r="I62" s="5"/>
    </row>
    <row r="63" spans="1:10" hidden="1" x14ac:dyDescent="0.25">
      <c r="B63" s="88"/>
      <c r="C63" s="75"/>
      <c r="D63" s="65"/>
      <c r="E63" s="74"/>
      <c r="F63" s="65"/>
      <c r="G63" s="75"/>
      <c r="H63" s="65"/>
      <c r="I63" s="5"/>
    </row>
    <row r="64" spans="1:10" s="49" customFormat="1" ht="15.75" thickBot="1" x14ac:dyDescent="0.3">
      <c r="A64" s="317"/>
      <c r="B64" s="88"/>
      <c r="C64" s="75"/>
      <c r="D64" s="65"/>
      <c r="E64" s="74"/>
      <c r="F64" s="65"/>
      <c r="G64" s="75"/>
      <c r="H64" s="65"/>
      <c r="I64" s="5"/>
    </row>
    <row r="65" spans="1:10" x14ac:dyDescent="0.25">
      <c r="B65" s="88"/>
      <c r="C65" s="374"/>
      <c r="D65" s="396" t="s">
        <v>244</v>
      </c>
      <c r="E65" s="381"/>
      <c r="F65" s="362"/>
      <c r="G65" s="362"/>
      <c r="H65" s="363" t="s">
        <v>152</v>
      </c>
      <c r="I65" s="49"/>
    </row>
    <row r="66" spans="1:10" x14ac:dyDescent="0.25">
      <c r="A66" s="373"/>
      <c r="C66" s="378" t="s">
        <v>232</v>
      </c>
      <c r="D66" s="395" t="s">
        <v>233</v>
      </c>
      <c r="E66" s="315"/>
      <c r="F66" s="364"/>
      <c r="G66" s="364"/>
      <c r="H66" s="365" t="s">
        <v>222</v>
      </c>
      <c r="I66" s="49"/>
    </row>
    <row r="67" spans="1:10" x14ac:dyDescent="0.25">
      <c r="A67" s="373"/>
      <c r="C67" s="382" t="s">
        <v>234</v>
      </c>
      <c r="D67" s="379"/>
      <c r="E67" s="315"/>
      <c r="F67" s="315"/>
      <c r="G67" s="315"/>
      <c r="H67" s="366"/>
      <c r="I67" s="49"/>
    </row>
    <row r="68" spans="1:10" x14ac:dyDescent="0.25">
      <c r="A68" s="373"/>
      <c r="C68" s="382" t="s">
        <v>235</v>
      </c>
      <c r="D68" s="380">
        <f>16198*15%</f>
        <v>2429.6999999999998</v>
      </c>
      <c r="E68" s="315"/>
      <c r="F68" s="315"/>
      <c r="G68" s="315"/>
      <c r="H68" s="368">
        <v>2430</v>
      </c>
      <c r="I68" s="49"/>
    </row>
    <row r="69" spans="1:10" x14ac:dyDescent="0.25">
      <c r="A69" s="373"/>
      <c r="C69" s="375"/>
      <c r="D69" s="380"/>
      <c r="E69" s="315"/>
      <c r="F69" s="315"/>
      <c r="G69" s="315"/>
      <c r="H69" s="368"/>
      <c r="I69" s="49"/>
    </row>
    <row r="70" spans="1:10" x14ac:dyDescent="0.25">
      <c r="A70" s="373"/>
      <c r="C70" s="376" t="s">
        <v>236</v>
      </c>
      <c r="D70" s="380"/>
      <c r="E70" s="315"/>
      <c r="F70" s="315"/>
      <c r="G70" s="315"/>
      <c r="H70" s="368"/>
      <c r="I70" s="49"/>
    </row>
    <row r="71" spans="1:10" x14ac:dyDescent="0.25">
      <c r="A71" s="373"/>
      <c r="C71" s="383" t="s">
        <v>237</v>
      </c>
      <c r="D71" s="380">
        <f>13677.3*15%</f>
        <v>2051.5949999999998</v>
      </c>
      <c r="E71" s="315"/>
      <c r="F71" s="315"/>
      <c r="G71" s="315"/>
      <c r="H71" s="368">
        <v>0</v>
      </c>
      <c r="I71" s="49"/>
    </row>
    <row r="72" spans="1:10" ht="15.75" thickBot="1" x14ac:dyDescent="0.3">
      <c r="A72" s="373"/>
      <c r="C72" s="377" t="s">
        <v>238</v>
      </c>
      <c r="D72" s="369"/>
      <c r="E72" s="370"/>
      <c r="F72" s="371"/>
      <c r="G72" s="371"/>
      <c r="H72" s="384"/>
      <c r="I72" s="367"/>
      <c r="J72" s="49"/>
    </row>
    <row r="73" spans="1:10" x14ac:dyDescent="0.25">
      <c r="A73" s="373"/>
    </row>
    <row r="74" spans="1:10" x14ac:dyDescent="0.25">
      <c r="D74" s="361"/>
      <c r="H74" s="361"/>
    </row>
    <row r="75" spans="1:10" x14ac:dyDescent="0.25">
      <c r="H75" s="361"/>
    </row>
    <row r="76" spans="1:10" x14ac:dyDescent="0.25">
      <c r="H76" s="361"/>
    </row>
  </sheetData>
  <mergeCells count="3">
    <mergeCell ref="C1:H1"/>
    <mergeCell ref="C2:H2"/>
    <mergeCell ref="C3:H3"/>
  </mergeCells>
  <pageMargins left="0.7" right="0.7" top="0.75" bottom="0.75" header="0.3" footer="0.3"/>
  <pageSetup scale="78" orientation="portrait" r:id="rId1"/>
  <headerFooter>
    <oddFooter>&amp;C&amp;"Arial,Regular"&amp;10 -1-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1"/>
  <sheetViews>
    <sheetView tabSelected="1" showOutlineSymbols="0" topLeftCell="A16" zoomScale="87" zoomScaleNormal="87" workbookViewId="0">
      <selection activeCell="B35" sqref="B35"/>
    </sheetView>
  </sheetViews>
  <sheetFormatPr defaultColWidth="11.140625" defaultRowHeight="15" x14ac:dyDescent="0.2"/>
  <cols>
    <col min="1" max="1" width="7.140625" style="105" customWidth="1"/>
    <col min="2" max="8" width="11.140625" style="105"/>
    <col min="9" max="9" width="9.85546875" style="105" customWidth="1"/>
    <col min="10" max="10" width="2.140625" style="105" customWidth="1"/>
    <col min="11" max="11" width="4.42578125" style="105" customWidth="1"/>
    <col min="12" max="16384" width="11.140625" style="105"/>
  </cols>
  <sheetData>
    <row r="2" spans="1:12" ht="15.75" thickBot="1" x14ac:dyDescent="0.25"/>
    <row r="3" spans="1:12" x14ac:dyDescent="0.2">
      <c r="B3" s="106"/>
      <c r="C3" s="107"/>
      <c r="D3" s="107"/>
      <c r="E3" s="107"/>
      <c r="F3" s="107"/>
      <c r="G3" s="107"/>
      <c r="H3" s="107"/>
      <c r="I3" s="107"/>
      <c r="J3" s="108"/>
      <c r="K3" s="109"/>
      <c r="L3" s="109"/>
    </row>
    <row r="4" spans="1:12" x14ac:dyDescent="0.2">
      <c r="B4" s="110"/>
      <c r="C4" s="109"/>
      <c r="D4" s="109"/>
      <c r="E4" s="109"/>
      <c r="F4" s="109"/>
      <c r="G4" s="109"/>
      <c r="H4" s="109"/>
      <c r="I4" s="109"/>
      <c r="J4" s="111"/>
      <c r="K4" s="109"/>
      <c r="L4" s="109"/>
    </row>
    <row r="5" spans="1:12" x14ac:dyDescent="0.2">
      <c r="B5" s="112"/>
      <c r="C5" s="113"/>
      <c r="D5" s="113"/>
      <c r="E5" s="113"/>
      <c r="F5" s="113"/>
      <c r="G5" s="113"/>
      <c r="H5" s="113"/>
      <c r="I5" s="113"/>
      <c r="J5" s="111"/>
      <c r="K5" s="109"/>
      <c r="L5" s="109"/>
    </row>
    <row r="6" spans="1:12" ht="18" x14ac:dyDescent="0.25">
      <c r="B6" s="112"/>
      <c r="C6" s="114"/>
      <c r="D6" s="115"/>
      <c r="E6" s="115"/>
      <c r="F6" s="115"/>
      <c r="G6" s="115"/>
      <c r="H6" s="115"/>
      <c r="I6" s="115"/>
      <c r="J6" s="111"/>
      <c r="K6" s="109"/>
      <c r="L6" s="109"/>
    </row>
    <row r="7" spans="1:12" ht="30" x14ac:dyDescent="0.4">
      <c r="B7" s="116"/>
      <c r="C7" s="114"/>
      <c r="D7" s="115"/>
      <c r="E7" s="115"/>
      <c r="F7" s="115"/>
      <c r="G7" s="115"/>
      <c r="H7" s="115"/>
      <c r="I7" s="115"/>
      <c r="J7" s="111"/>
      <c r="K7" s="109"/>
      <c r="L7" s="109"/>
    </row>
    <row r="8" spans="1:12" ht="30" x14ac:dyDescent="0.4">
      <c r="B8" s="116"/>
      <c r="C8" s="114"/>
      <c r="D8" s="115"/>
      <c r="E8" s="115"/>
      <c r="F8" s="115"/>
      <c r="G8" s="115"/>
      <c r="H8" s="115"/>
      <c r="I8" s="115"/>
      <c r="J8" s="111"/>
      <c r="K8" s="109"/>
      <c r="L8" s="109"/>
    </row>
    <row r="9" spans="1:12" ht="18" x14ac:dyDescent="0.25">
      <c r="B9" s="117"/>
      <c r="C9" s="114"/>
      <c r="D9" s="115"/>
      <c r="E9" s="115"/>
      <c r="F9" s="115"/>
      <c r="G9" s="115"/>
      <c r="H9" s="115"/>
      <c r="I9" s="115"/>
      <c r="J9" s="111"/>
      <c r="K9" s="109"/>
      <c r="L9" s="109"/>
    </row>
    <row r="10" spans="1:12" ht="18.75" thickBot="1" x14ac:dyDescent="0.3">
      <c r="B10" s="118"/>
      <c r="C10" s="119"/>
      <c r="D10" s="120"/>
      <c r="E10" s="120"/>
      <c r="F10" s="120"/>
      <c r="G10" s="120"/>
      <c r="H10" s="120"/>
      <c r="I10" s="120"/>
      <c r="J10" s="121"/>
      <c r="K10" s="109"/>
      <c r="L10" s="109"/>
    </row>
    <row r="11" spans="1:12" ht="18" x14ac:dyDescent="0.25">
      <c r="B11" s="122"/>
      <c r="C11" s="122"/>
      <c r="D11" s="123"/>
      <c r="E11" s="123"/>
      <c r="F11" s="123"/>
      <c r="G11" s="123"/>
      <c r="H11" s="123"/>
      <c r="I11" s="124"/>
      <c r="J11" s="109"/>
      <c r="K11" s="109"/>
      <c r="L11" s="109"/>
    </row>
    <row r="12" spans="1:12" ht="18.75" thickBot="1" x14ac:dyDescent="0.3">
      <c r="B12" s="122"/>
      <c r="C12" s="122"/>
      <c r="D12" s="123"/>
      <c r="E12" s="123"/>
      <c r="F12" s="123"/>
      <c r="G12" s="123"/>
      <c r="H12" s="123"/>
      <c r="I12" s="123"/>
    </row>
    <row r="13" spans="1:12" x14ac:dyDescent="0.2">
      <c r="B13" s="125"/>
      <c r="C13" s="126"/>
      <c r="D13" s="126"/>
      <c r="E13" s="126"/>
      <c r="F13" s="126"/>
      <c r="G13" s="126"/>
      <c r="H13" s="126"/>
      <c r="I13" s="126"/>
      <c r="J13" s="108"/>
    </row>
    <row r="14" spans="1:12" x14ac:dyDescent="0.2">
      <c r="B14" s="112"/>
      <c r="C14" s="113"/>
      <c r="D14" s="113"/>
      <c r="E14" s="113"/>
      <c r="F14" s="113"/>
      <c r="G14" s="113"/>
      <c r="H14" s="113"/>
      <c r="I14" s="113"/>
      <c r="J14" s="111"/>
    </row>
    <row r="15" spans="1:12" ht="30" x14ac:dyDescent="0.4">
      <c r="A15" s="123"/>
      <c r="B15" s="116" t="s">
        <v>184</v>
      </c>
      <c r="C15" s="115"/>
      <c r="D15" s="115"/>
      <c r="E15" s="115"/>
      <c r="F15" s="115"/>
      <c r="G15" s="115"/>
      <c r="H15" s="115"/>
      <c r="I15" s="115"/>
      <c r="J15" s="111"/>
    </row>
    <row r="16" spans="1:12" x14ac:dyDescent="0.2">
      <c r="B16" s="112"/>
      <c r="C16" s="113"/>
      <c r="D16" s="113"/>
      <c r="E16" s="113"/>
      <c r="F16" s="113"/>
      <c r="G16" s="113"/>
      <c r="H16" s="113"/>
      <c r="I16" s="113"/>
      <c r="J16" s="111"/>
    </row>
    <row r="17" spans="1:10" x14ac:dyDescent="0.2">
      <c r="B17" s="112"/>
      <c r="C17" s="113"/>
      <c r="D17" s="113"/>
      <c r="E17" s="113"/>
      <c r="F17" s="113"/>
      <c r="G17" s="113"/>
      <c r="H17" s="113"/>
      <c r="I17" s="113"/>
      <c r="J17" s="111"/>
    </row>
    <row r="18" spans="1:10" ht="30" x14ac:dyDescent="0.4">
      <c r="A18" s="123"/>
      <c r="B18" s="116" t="s">
        <v>152</v>
      </c>
      <c r="C18" s="115"/>
      <c r="D18" s="115"/>
      <c r="E18" s="115"/>
      <c r="F18" s="115"/>
      <c r="G18" s="115"/>
      <c r="H18" s="115"/>
      <c r="I18" s="115"/>
      <c r="J18" s="111"/>
    </row>
    <row r="19" spans="1:10" ht="30" x14ac:dyDescent="0.4">
      <c r="A19" s="123"/>
      <c r="B19" s="116"/>
      <c r="C19" s="115"/>
      <c r="D19" s="115"/>
      <c r="E19" s="115"/>
      <c r="F19" s="115"/>
      <c r="G19" s="115"/>
      <c r="H19" s="115"/>
      <c r="I19" s="115"/>
      <c r="J19" s="111"/>
    </row>
    <row r="20" spans="1:10" ht="30" x14ac:dyDescent="0.4">
      <c r="A20" s="123"/>
      <c r="B20" s="116" t="s">
        <v>182</v>
      </c>
      <c r="C20" s="115"/>
      <c r="D20" s="115"/>
      <c r="E20" s="115"/>
      <c r="F20" s="115"/>
      <c r="G20" s="115"/>
      <c r="H20" s="115"/>
      <c r="I20" s="115"/>
      <c r="J20" s="111"/>
    </row>
    <row r="21" spans="1:10" ht="30" x14ac:dyDescent="0.4">
      <c r="A21" s="123"/>
      <c r="B21" s="116"/>
      <c r="C21" s="115"/>
      <c r="D21" s="115"/>
      <c r="E21" s="115"/>
      <c r="F21" s="115"/>
      <c r="G21" s="115"/>
      <c r="H21" s="115"/>
      <c r="I21" s="115"/>
      <c r="J21" s="111"/>
    </row>
    <row r="22" spans="1:10" ht="30" x14ac:dyDescent="0.4">
      <c r="A22" s="123"/>
      <c r="B22" s="116" t="s">
        <v>222</v>
      </c>
      <c r="C22" s="115"/>
      <c r="D22" s="115"/>
      <c r="E22" s="115"/>
      <c r="F22" s="115"/>
      <c r="G22" s="115"/>
      <c r="H22" s="115"/>
      <c r="I22" s="115"/>
      <c r="J22" s="111"/>
    </row>
    <row r="23" spans="1:10" ht="30" x14ac:dyDescent="0.4">
      <c r="A23" s="123"/>
      <c r="B23" s="116"/>
      <c r="C23" s="115"/>
      <c r="D23" s="115"/>
      <c r="E23" s="115"/>
      <c r="F23" s="115"/>
      <c r="G23" s="115"/>
      <c r="H23" s="115"/>
      <c r="I23" s="115"/>
      <c r="J23" s="111"/>
    </row>
    <row r="24" spans="1:10" ht="30" x14ac:dyDescent="0.4">
      <c r="A24" s="123"/>
      <c r="B24" s="116" t="s">
        <v>183</v>
      </c>
      <c r="C24" s="115"/>
      <c r="D24" s="115"/>
      <c r="E24" s="115"/>
      <c r="F24" s="115"/>
      <c r="G24" s="115"/>
      <c r="H24" s="115"/>
      <c r="I24" s="115"/>
      <c r="J24" s="111"/>
    </row>
    <row r="25" spans="1:10" ht="30" x14ac:dyDescent="0.4">
      <c r="A25" s="123"/>
      <c r="B25" s="116"/>
      <c r="C25" s="115"/>
      <c r="D25" s="115"/>
      <c r="E25" s="115"/>
      <c r="F25" s="115"/>
      <c r="G25" s="115"/>
      <c r="H25" s="115"/>
      <c r="I25" s="115"/>
      <c r="J25" s="111"/>
    </row>
    <row r="26" spans="1:10" ht="20.25" x14ac:dyDescent="0.3">
      <c r="A26" s="123"/>
      <c r="B26" s="127" t="s">
        <v>223</v>
      </c>
      <c r="C26" s="115"/>
      <c r="D26" s="115"/>
      <c r="E26" s="115"/>
      <c r="F26" s="115"/>
      <c r="G26" s="115"/>
      <c r="H26" s="115"/>
      <c r="I26" s="115"/>
      <c r="J26" s="111"/>
    </row>
    <row r="27" spans="1:10" ht="30" x14ac:dyDescent="0.4">
      <c r="A27" s="123"/>
      <c r="B27" s="116"/>
      <c r="C27" s="115"/>
      <c r="D27" s="115"/>
      <c r="E27" s="115"/>
      <c r="F27" s="115"/>
      <c r="G27" s="115"/>
      <c r="H27" s="115"/>
      <c r="I27" s="115"/>
      <c r="J27" s="111"/>
    </row>
    <row r="28" spans="1:10" x14ac:dyDescent="0.2">
      <c r="A28" s="123"/>
      <c r="B28" s="128"/>
      <c r="C28" s="115"/>
      <c r="D28" s="115"/>
      <c r="E28" s="115"/>
      <c r="F28" s="115"/>
      <c r="G28" s="115"/>
      <c r="H28" s="115"/>
      <c r="I28" s="115"/>
      <c r="J28" s="111"/>
    </row>
    <row r="29" spans="1:10" x14ac:dyDescent="0.2">
      <c r="A29" s="123"/>
      <c r="B29" s="128"/>
      <c r="C29" s="115"/>
      <c r="D29" s="115"/>
      <c r="E29" s="115"/>
      <c r="F29" s="115"/>
      <c r="G29" s="115"/>
      <c r="H29" s="115"/>
      <c r="I29" s="115"/>
      <c r="J29" s="111"/>
    </row>
    <row r="30" spans="1:10" x14ac:dyDescent="0.2">
      <c r="A30" s="123"/>
      <c r="B30" s="129"/>
      <c r="C30" s="124"/>
      <c r="D30" s="124"/>
      <c r="E30" s="124"/>
      <c r="F30" s="124"/>
      <c r="G30" s="124"/>
      <c r="H30" s="124"/>
      <c r="I30" s="124"/>
      <c r="J30" s="111"/>
    </row>
    <row r="31" spans="1:10" ht="15.75" thickBot="1" x14ac:dyDescent="0.25">
      <c r="A31" s="123"/>
      <c r="B31" s="130"/>
      <c r="C31" s="131"/>
      <c r="D31" s="131"/>
      <c r="E31" s="131"/>
      <c r="F31" s="131"/>
      <c r="G31" s="131"/>
      <c r="H31" s="131"/>
      <c r="I31" s="131"/>
      <c r="J31" s="121"/>
    </row>
    <row r="32" spans="1:10" ht="15.75" thickBot="1" x14ac:dyDescent="0.25">
      <c r="A32" s="123"/>
      <c r="B32" s="132"/>
      <c r="C32" s="132"/>
      <c r="D32" s="132"/>
      <c r="E32" s="132"/>
      <c r="F32" s="132"/>
      <c r="G32" s="132"/>
      <c r="H32" s="132"/>
      <c r="I32" s="132"/>
    </row>
    <row r="33" spans="1:10" x14ac:dyDescent="0.2">
      <c r="A33" s="123"/>
      <c r="B33" s="133"/>
      <c r="C33" s="134"/>
      <c r="D33" s="134"/>
      <c r="E33" s="134"/>
      <c r="F33" s="134"/>
      <c r="G33" s="134"/>
      <c r="H33" s="134"/>
      <c r="I33" s="134"/>
      <c r="J33" s="108"/>
    </row>
    <row r="34" spans="1:10" ht="22.5" x14ac:dyDescent="0.3">
      <c r="A34" s="123"/>
      <c r="B34" s="135"/>
      <c r="C34" s="114"/>
      <c r="D34" s="115"/>
      <c r="E34" s="115"/>
      <c r="F34" s="115"/>
      <c r="G34" s="115"/>
      <c r="H34" s="115"/>
      <c r="I34" s="115"/>
      <c r="J34" s="111"/>
    </row>
    <row r="35" spans="1:10" ht="22.5" x14ac:dyDescent="0.3">
      <c r="A35" s="123"/>
      <c r="B35" s="136"/>
      <c r="C35" s="114"/>
      <c r="D35" s="115"/>
      <c r="E35" s="115"/>
      <c r="F35" s="115"/>
      <c r="G35" s="115"/>
      <c r="H35" s="115"/>
      <c r="I35" s="115"/>
      <c r="J35" s="111"/>
    </row>
    <row r="36" spans="1:10" ht="18.75" thickBot="1" x14ac:dyDescent="0.3">
      <c r="A36" s="123"/>
      <c r="B36" s="118"/>
      <c r="C36" s="119"/>
      <c r="D36" s="120"/>
      <c r="E36" s="120"/>
      <c r="F36" s="120"/>
      <c r="G36" s="120"/>
      <c r="H36" s="120"/>
      <c r="I36" s="120"/>
      <c r="J36" s="121"/>
    </row>
    <row r="37" spans="1:10" ht="18" x14ac:dyDescent="0.25">
      <c r="A37" s="123"/>
      <c r="B37" s="137"/>
      <c r="C37" s="137"/>
      <c r="D37" s="132"/>
      <c r="E37" s="132"/>
      <c r="F37" s="132"/>
      <c r="G37" s="132"/>
      <c r="H37" s="132"/>
      <c r="I37" s="132"/>
    </row>
    <row r="38" spans="1:10" ht="18" x14ac:dyDescent="0.25">
      <c r="B38" s="138"/>
      <c r="C38" s="138"/>
    </row>
    <row r="39" spans="1:10" ht="18" x14ac:dyDescent="0.25">
      <c r="B39" s="138"/>
      <c r="C39" s="138"/>
    </row>
    <row r="40" spans="1:10" ht="18" x14ac:dyDescent="0.25">
      <c r="B40" s="138"/>
      <c r="C40" s="138"/>
    </row>
    <row r="41" spans="1:10" ht="18" x14ac:dyDescent="0.25">
      <c r="B41" s="138"/>
      <c r="C41" s="138"/>
    </row>
  </sheetData>
  <pageMargins left="0.5" right="0.25" top="0.75" bottom="0.75" header="0.5" footer="0.5"/>
  <pageSetup scale="90" orientation="portrait" r:id="rId1"/>
  <rowBreaks count="2" manualBreakCount="2">
    <brk id="33" max="10" man="1"/>
    <brk id="3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6"/>
  <sheetViews>
    <sheetView tabSelected="1" zoomScale="91" zoomScaleNormal="91" workbookViewId="0">
      <selection activeCell="B35" sqref="B35"/>
    </sheetView>
  </sheetViews>
  <sheetFormatPr defaultColWidth="9.140625" defaultRowHeight="15" x14ac:dyDescent="0.25"/>
  <cols>
    <col min="1" max="1" width="5.85546875" style="317" customWidth="1"/>
    <col min="2" max="2" width="5.5703125" style="49" customWidth="1"/>
    <col min="3" max="3" width="40.42578125" style="49" customWidth="1"/>
    <col min="4" max="4" width="17.42578125" style="29" customWidth="1"/>
    <col min="5" max="6" width="17.42578125" style="304" customWidth="1"/>
    <col min="7" max="7" width="17.42578125" style="358" customWidth="1"/>
    <col min="8" max="16384" width="9.140625" style="49"/>
  </cols>
  <sheetData>
    <row r="1" spans="1:8" x14ac:dyDescent="0.25">
      <c r="B1" s="88"/>
      <c r="C1" s="386" t="s">
        <v>0</v>
      </c>
      <c r="D1" s="386"/>
      <c r="E1" s="386"/>
      <c r="F1" s="386"/>
      <c r="G1" s="386"/>
      <c r="H1" s="29"/>
    </row>
    <row r="2" spans="1:8" x14ac:dyDescent="0.25">
      <c r="B2" s="88"/>
      <c r="C2" s="386" t="s">
        <v>149</v>
      </c>
      <c r="D2" s="386"/>
      <c r="E2" s="386"/>
      <c r="F2" s="386"/>
      <c r="G2" s="386"/>
    </row>
    <row r="3" spans="1:8" x14ac:dyDescent="0.25">
      <c r="B3" s="88"/>
      <c r="C3" s="18"/>
      <c r="D3" s="18"/>
      <c r="E3" s="356"/>
      <c r="F3" s="78"/>
      <c r="G3" s="357" t="s">
        <v>169</v>
      </c>
    </row>
    <row r="4" spans="1:8" x14ac:dyDescent="0.25">
      <c r="B4" s="88"/>
      <c r="C4" s="8"/>
      <c r="D4" s="60"/>
      <c r="E4" s="348"/>
      <c r="F4" s="348"/>
      <c r="G4" s="349" t="s">
        <v>241</v>
      </c>
    </row>
    <row r="5" spans="1:8" x14ac:dyDescent="0.25">
      <c r="B5" s="88"/>
      <c r="C5" s="9"/>
      <c r="D5" s="44" t="s">
        <v>1</v>
      </c>
      <c r="E5" s="349"/>
      <c r="F5" s="349"/>
      <c r="G5" s="349" t="s">
        <v>170</v>
      </c>
    </row>
    <row r="6" spans="1:8" x14ac:dyDescent="0.25">
      <c r="B6" s="88"/>
      <c r="C6" s="9"/>
      <c r="D6" s="91" t="s">
        <v>45</v>
      </c>
      <c r="E6" s="349" t="s">
        <v>152</v>
      </c>
      <c r="F6" s="349" t="s">
        <v>152</v>
      </c>
      <c r="G6" s="349" t="s">
        <v>225</v>
      </c>
    </row>
    <row r="7" spans="1:8" x14ac:dyDescent="0.25">
      <c r="B7" s="88"/>
      <c r="C7" s="75"/>
      <c r="D7" s="54" t="s">
        <v>209</v>
      </c>
      <c r="E7" s="350" t="s">
        <v>218</v>
      </c>
      <c r="F7" s="350" t="s">
        <v>224</v>
      </c>
      <c r="G7" s="350" t="s">
        <v>152</v>
      </c>
    </row>
    <row r="8" spans="1:8" x14ac:dyDescent="0.25">
      <c r="A8" s="317" t="s">
        <v>219</v>
      </c>
      <c r="B8" s="88"/>
      <c r="C8" s="2" t="s">
        <v>3</v>
      </c>
      <c r="D8" s="65"/>
      <c r="E8" s="48"/>
      <c r="F8" s="48"/>
      <c r="G8" s="48"/>
    </row>
    <row r="9" spans="1:8" x14ac:dyDescent="0.25">
      <c r="A9" s="317">
        <v>1</v>
      </c>
      <c r="B9" s="88">
        <v>57</v>
      </c>
      <c r="C9" s="39" t="s">
        <v>36</v>
      </c>
      <c r="D9" s="59">
        <f>ROUND(SUM('GF Rev by Obj'!D8:D10),0)</f>
        <v>411640278</v>
      </c>
      <c r="E9" s="59">
        <f>ROUND(SUM('GF Rev by Obj'!E8:E10),0)</f>
        <v>438366366</v>
      </c>
      <c r="F9" s="59">
        <f>ROUND(SUM('GF Rev by Obj'!F8:F10),0)</f>
        <v>475440918</v>
      </c>
      <c r="G9" s="59">
        <f>+F9-E9</f>
        <v>37074552</v>
      </c>
    </row>
    <row r="10" spans="1:8" x14ac:dyDescent="0.25">
      <c r="A10" s="317">
        <v>2</v>
      </c>
      <c r="B10" s="88">
        <v>57</v>
      </c>
      <c r="C10" s="39" t="s">
        <v>37</v>
      </c>
      <c r="D10" s="56">
        <f>ROUND(SUM('GF Rev by Obj'!D11:D23),0)</f>
        <v>13457488</v>
      </c>
      <c r="E10" s="48">
        <f>ROUND(SUM('GF Rev by Obj'!E11:E23),0)</f>
        <v>15918603</v>
      </c>
      <c r="F10" s="48">
        <f>ROUND(SUM('GF Rev by Obj'!F11:F22),0)</f>
        <v>15258305</v>
      </c>
      <c r="G10" s="48">
        <f>+F10-E10</f>
        <v>-660298</v>
      </c>
    </row>
    <row r="11" spans="1:8" x14ac:dyDescent="0.25">
      <c r="A11" s="317">
        <v>3</v>
      </c>
      <c r="B11" s="88">
        <v>58</v>
      </c>
      <c r="C11" s="39" t="s">
        <v>38</v>
      </c>
      <c r="D11" s="56">
        <f>ROUND(SUM('GF Rev by Obj'!D27:D31),0)</f>
        <v>66818828</v>
      </c>
      <c r="E11" s="48">
        <f>ROUND(SUM('GF Rev by Obj'!E27:E32),0)</f>
        <v>66397489</v>
      </c>
      <c r="F11" s="48">
        <f>ROUND(SUM('GF Rev by Obj'!F27:F31),0)</f>
        <v>52355584</v>
      </c>
      <c r="G11" s="48">
        <f>+F11-E11</f>
        <v>-14041905</v>
      </c>
    </row>
    <row r="12" spans="1:8" x14ac:dyDescent="0.25">
      <c r="A12" s="317">
        <v>4</v>
      </c>
      <c r="B12" s="88">
        <v>59</v>
      </c>
      <c r="C12" s="39" t="s">
        <v>42</v>
      </c>
      <c r="D12" s="56">
        <f>ROUND(SUM('GF Rev by Obj'!D36:D40),0)</f>
        <v>8986957</v>
      </c>
      <c r="E12" s="48">
        <f>ROUND(SUM('GF Rev by Obj'!E36:E41),0)</f>
        <v>9994113</v>
      </c>
      <c r="F12" s="48">
        <f>ROUND(SUM('GF Rev by Obj'!F36:F40),0)</f>
        <v>9439852</v>
      </c>
      <c r="G12" s="48">
        <f>+F12-E12</f>
        <v>-554261</v>
      </c>
    </row>
    <row r="13" spans="1:8" x14ac:dyDescent="0.25">
      <c r="A13" s="317">
        <v>5</v>
      </c>
      <c r="B13" s="88"/>
      <c r="C13" s="35" t="s">
        <v>188</v>
      </c>
      <c r="D13" s="77">
        <f>SUM(D9:D12)</f>
        <v>500903551</v>
      </c>
      <c r="E13" s="61">
        <f t="shared" ref="E13" si="0">SUM(E9:E12)</f>
        <v>530676571</v>
      </c>
      <c r="F13" s="61">
        <f>SUM(F9:F12)</f>
        <v>552494659</v>
      </c>
      <c r="G13" s="61">
        <f>SUM(G9:G12)</f>
        <v>21818088</v>
      </c>
    </row>
    <row r="14" spans="1:8" x14ac:dyDescent="0.25">
      <c r="B14" s="88"/>
      <c r="C14" s="75"/>
      <c r="D14" s="89"/>
      <c r="E14" s="48"/>
      <c r="F14" s="48"/>
      <c r="G14" s="48"/>
    </row>
    <row r="15" spans="1:8" x14ac:dyDescent="0.25">
      <c r="B15" s="88"/>
      <c r="C15" s="2" t="s">
        <v>4</v>
      </c>
      <c r="D15" s="89"/>
      <c r="E15" s="48"/>
      <c r="F15" s="48"/>
      <c r="G15" s="48"/>
    </row>
    <row r="16" spans="1:8" x14ac:dyDescent="0.25">
      <c r="A16" s="317">
        <v>6</v>
      </c>
      <c r="B16" s="88">
        <v>11</v>
      </c>
      <c r="C16" s="66" t="s">
        <v>5</v>
      </c>
      <c r="D16" s="56">
        <v>285986078</v>
      </c>
      <c r="E16" s="56">
        <f>'GF Exp by Func &amp; Mj Obj '!D14</f>
        <v>311727753.00000012</v>
      </c>
      <c r="F16" s="56">
        <f>'GF Exp by Func &amp; Mj Obj '!F14</f>
        <v>319188242</v>
      </c>
      <c r="G16" s="48">
        <f>+F16-E16</f>
        <v>7460488.9999998808</v>
      </c>
    </row>
    <row r="17" spans="1:7" x14ac:dyDescent="0.25">
      <c r="A17" s="317">
        <v>7</v>
      </c>
      <c r="B17" s="88">
        <v>12</v>
      </c>
      <c r="C17" s="66" t="s">
        <v>6</v>
      </c>
      <c r="D17" s="56">
        <v>6279571</v>
      </c>
      <c r="E17" s="56">
        <f>'GF Exp by Func &amp; Mj Obj '!D21</f>
        <v>6633367</v>
      </c>
      <c r="F17" s="56">
        <f>'GF Exp by Func &amp; Mj Obj '!F21</f>
        <v>6780552</v>
      </c>
      <c r="G17" s="48">
        <f t="shared" ref="G17:G37" si="1">+F17-E17</f>
        <v>147185</v>
      </c>
    </row>
    <row r="18" spans="1:7" x14ac:dyDescent="0.25">
      <c r="A18" s="317">
        <v>8</v>
      </c>
      <c r="B18" s="88">
        <v>13</v>
      </c>
      <c r="C18" s="66" t="s">
        <v>7</v>
      </c>
      <c r="D18" s="56">
        <v>2690154</v>
      </c>
      <c r="E18" s="56">
        <f>'GF Exp by Func &amp; Mj Obj '!D28</f>
        <v>3478499</v>
      </c>
      <c r="F18" s="56">
        <f>'GF Exp by Func &amp; Mj Obj '!F28</f>
        <v>3480943.9999999995</v>
      </c>
      <c r="G18" s="48">
        <f t="shared" si="1"/>
        <v>2444.9999999995343</v>
      </c>
    </row>
    <row r="19" spans="1:7" x14ac:dyDescent="0.25">
      <c r="A19" s="317">
        <v>9</v>
      </c>
      <c r="B19" s="88">
        <v>21</v>
      </c>
      <c r="C19" s="66" t="s">
        <v>8</v>
      </c>
      <c r="D19" s="56">
        <v>10797151</v>
      </c>
      <c r="E19" s="56">
        <f>'GF Exp by Func &amp; Mj Obj '!D35</f>
        <v>11877813</v>
      </c>
      <c r="F19" s="56">
        <f>'GF Exp by Func &amp; Mj Obj '!F35</f>
        <v>11441777.999999998</v>
      </c>
      <c r="G19" s="48">
        <f t="shared" si="1"/>
        <v>-436035.00000000186</v>
      </c>
    </row>
    <row r="20" spans="1:7" x14ac:dyDescent="0.25">
      <c r="A20" s="317">
        <v>10</v>
      </c>
      <c r="B20" s="88">
        <v>23</v>
      </c>
      <c r="C20" s="66" t="s">
        <v>9</v>
      </c>
      <c r="D20" s="56">
        <v>31947426</v>
      </c>
      <c r="E20" s="56">
        <f>'GF Exp by Func &amp; Mj Obj '!D42</f>
        <v>32687639</v>
      </c>
      <c r="F20" s="56">
        <f>'GF Exp by Func &amp; Mj Obj '!F42</f>
        <v>34735609</v>
      </c>
      <c r="G20" s="48">
        <f t="shared" si="1"/>
        <v>2047970</v>
      </c>
    </row>
    <row r="21" spans="1:7" x14ac:dyDescent="0.25">
      <c r="A21" s="317">
        <v>11</v>
      </c>
      <c r="B21" s="88">
        <v>31</v>
      </c>
      <c r="C21" s="66" t="s">
        <v>10</v>
      </c>
      <c r="D21" s="56">
        <v>23680765</v>
      </c>
      <c r="E21" s="56">
        <f>'GF Exp by Func &amp; Mj Obj '!D49</f>
        <v>24064740</v>
      </c>
      <c r="F21" s="56">
        <f>'GF Exp by Func &amp; Mj Obj '!F49</f>
        <v>25494944.999999996</v>
      </c>
      <c r="G21" s="48">
        <f t="shared" si="1"/>
        <v>1430204.9999999963</v>
      </c>
    </row>
    <row r="22" spans="1:7" x14ac:dyDescent="0.25">
      <c r="A22" s="317">
        <v>12</v>
      </c>
      <c r="B22" s="88">
        <v>32</v>
      </c>
      <c r="C22" s="66" t="s">
        <v>11</v>
      </c>
      <c r="D22" s="56">
        <v>303997</v>
      </c>
      <c r="E22" s="56">
        <f>'GF Exp by Func &amp; Mj Obj '!D63</f>
        <v>404482</v>
      </c>
      <c r="F22" s="56">
        <f>'GF Exp by Func &amp; Mj Obj '!F63</f>
        <v>367667</v>
      </c>
      <c r="G22" s="48">
        <f t="shared" si="1"/>
        <v>-36815</v>
      </c>
    </row>
    <row r="23" spans="1:7" x14ac:dyDescent="0.25">
      <c r="A23" s="317">
        <v>13</v>
      </c>
      <c r="B23" s="88">
        <v>33</v>
      </c>
      <c r="C23" s="66" t="s">
        <v>12</v>
      </c>
      <c r="D23" s="56">
        <v>5511101</v>
      </c>
      <c r="E23" s="56">
        <f>'GF Exp by Func &amp; Mj Obj '!D70</f>
        <v>5726308</v>
      </c>
      <c r="F23" s="56">
        <f>'GF Exp by Func &amp; Mj Obj '!F70</f>
        <v>6768287.0000000019</v>
      </c>
      <c r="G23" s="48">
        <f t="shared" si="1"/>
        <v>1041979.0000000019</v>
      </c>
    </row>
    <row r="24" spans="1:7" x14ac:dyDescent="0.25">
      <c r="A24" s="317">
        <v>14</v>
      </c>
      <c r="B24" s="88">
        <v>34</v>
      </c>
      <c r="C24" s="66" t="s">
        <v>13</v>
      </c>
      <c r="D24" s="56">
        <v>40594997</v>
      </c>
      <c r="E24" s="56">
        <f>'GF Exp by Func &amp; Mj Obj '!D77</f>
        <v>15469983</v>
      </c>
      <c r="F24" s="56">
        <f>'GF Exp by Func &amp; Mj Obj '!F77</f>
        <v>16042899</v>
      </c>
      <c r="G24" s="48">
        <f t="shared" si="1"/>
        <v>572916</v>
      </c>
    </row>
    <row r="25" spans="1:7" x14ac:dyDescent="0.25">
      <c r="A25" s="317">
        <v>15</v>
      </c>
      <c r="B25" s="88">
        <v>35</v>
      </c>
      <c r="C25" s="66" t="s">
        <v>14</v>
      </c>
      <c r="D25" s="56">
        <v>62819</v>
      </c>
      <c r="E25" s="56">
        <f>'GF Exp by Func &amp; Mj Obj '!D85</f>
        <v>48777</v>
      </c>
      <c r="F25" s="56">
        <f>'GF Exp by Func &amp; Mj Obj '!F85</f>
        <v>45159</v>
      </c>
      <c r="G25" s="48">
        <f t="shared" si="1"/>
        <v>-3618</v>
      </c>
    </row>
    <row r="26" spans="1:7" x14ac:dyDescent="0.25">
      <c r="A26" s="317">
        <v>16</v>
      </c>
      <c r="B26" s="88">
        <v>36</v>
      </c>
      <c r="C26" s="66" t="s">
        <v>15</v>
      </c>
      <c r="D26" s="56">
        <v>9672844</v>
      </c>
      <c r="E26" s="56">
        <f>'GF Exp by Func &amp; Mj Obj '!D93</f>
        <v>12418867</v>
      </c>
      <c r="F26" s="56">
        <f>'GF Exp by Func &amp; Mj Obj '!F93</f>
        <v>12616957.999999996</v>
      </c>
      <c r="G26" s="48">
        <f t="shared" si="1"/>
        <v>198090.99999999627</v>
      </c>
    </row>
    <row r="27" spans="1:7" x14ac:dyDescent="0.25">
      <c r="A27" s="317">
        <v>17</v>
      </c>
      <c r="B27" s="88">
        <v>41</v>
      </c>
      <c r="C27" s="66" t="s">
        <v>16</v>
      </c>
      <c r="D27" s="56">
        <v>10373666</v>
      </c>
      <c r="E27" s="56">
        <f>'GF Exp by Func &amp; Mj Obj '!D101</f>
        <v>11565520</v>
      </c>
      <c r="F27" s="56">
        <f>'GF Exp by Func &amp; Mj Obj '!F101</f>
        <v>12248438.000000002</v>
      </c>
      <c r="G27" s="48">
        <f t="shared" si="1"/>
        <v>682918.00000000186</v>
      </c>
    </row>
    <row r="28" spans="1:7" x14ac:dyDescent="0.25">
      <c r="A28" s="317">
        <v>18</v>
      </c>
      <c r="B28" s="88">
        <v>51</v>
      </c>
      <c r="C28" s="66" t="s">
        <v>17</v>
      </c>
      <c r="D28" s="56">
        <v>39420603</v>
      </c>
      <c r="E28" s="56">
        <f>'GF Exp by Func &amp; Mj Obj '!D109</f>
        <v>44310942</v>
      </c>
      <c r="F28" s="56">
        <f>'GF Exp by Func &amp; Mj Obj '!F109</f>
        <v>44933000</v>
      </c>
      <c r="G28" s="48">
        <f t="shared" si="1"/>
        <v>622058</v>
      </c>
    </row>
    <row r="29" spans="1:7" x14ac:dyDescent="0.25">
      <c r="A29" s="317">
        <v>19</v>
      </c>
      <c r="B29" s="88">
        <v>52</v>
      </c>
      <c r="C29" s="66" t="s">
        <v>18</v>
      </c>
      <c r="D29" s="56">
        <v>3118076</v>
      </c>
      <c r="E29" s="56">
        <f>'GF Exp by Func &amp; Mj Obj '!D124</f>
        <v>3493183</v>
      </c>
      <c r="F29" s="56">
        <f>'GF Exp by Func &amp; Mj Obj '!F124</f>
        <v>3512493</v>
      </c>
      <c r="G29" s="48">
        <f t="shared" si="1"/>
        <v>19310</v>
      </c>
    </row>
    <row r="30" spans="1:7" x14ac:dyDescent="0.25">
      <c r="A30" s="317">
        <v>20</v>
      </c>
      <c r="B30" s="88">
        <v>53</v>
      </c>
      <c r="C30" s="66" t="s">
        <v>19</v>
      </c>
      <c r="D30" s="56">
        <v>11741904</v>
      </c>
      <c r="E30" s="56">
        <f>'GF Exp by Func &amp; Mj Obj '!D132</f>
        <v>12883234</v>
      </c>
      <c r="F30" s="56">
        <f>'GF Exp by Func &amp; Mj Obj '!F132</f>
        <v>12835431.000000002</v>
      </c>
      <c r="G30" s="48">
        <f t="shared" si="1"/>
        <v>-47802.999999998137</v>
      </c>
    </row>
    <row r="31" spans="1:7" x14ac:dyDescent="0.25">
      <c r="A31" s="317">
        <v>21</v>
      </c>
      <c r="B31" s="88">
        <v>61</v>
      </c>
      <c r="C31" s="66" t="s">
        <v>20</v>
      </c>
      <c r="D31" s="56">
        <v>6396170</v>
      </c>
      <c r="E31" s="56">
        <f>'GF Exp by Func &amp; Mj Obj '!D139</f>
        <v>9565300</v>
      </c>
      <c r="F31" s="56">
        <f>'GF Exp by Func &amp; Mj Obj '!F139</f>
        <v>6703916.0000000009</v>
      </c>
      <c r="G31" s="48">
        <f t="shared" si="1"/>
        <v>-2861383.9999999991</v>
      </c>
    </row>
    <row r="32" spans="1:7" x14ac:dyDescent="0.25">
      <c r="A32" s="317">
        <v>22</v>
      </c>
      <c r="B32" s="88">
        <v>71</v>
      </c>
      <c r="C32" s="66" t="s">
        <v>21</v>
      </c>
      <c r="D32" s="56">
        <v>0</v>
      </c>
      <c r="E32" s="56">
        <v>0</v>
      </c>
      <c r="F32" s="56">
        <f>'GF Exp by Func &amp; Mj Obj '!F144</f>
        <v>0</v>
      </c>
      <c r="G32" s="48">
        <f t="shared" si="1"/>
        <v>0</v>
      </c>
    </row>
    <row r="33" spans="1:7" x14ac:dyDescent="0.25">
      <c r="A33" s="317">
        <v>23</v>
      </c>
      <c r="B33" s="88">
        <v>81</v>
      </c>
      <c r="C33" s="66" t="s">
        <v>22</v>
      </c>
      <c r="D33" s="56">
        <v>0</v>
      </c>
      <c r="E33" s="56">
        <v>0</v>
      </c>
      <c r="F33" s="56">
        <v>0</v>
      </c>
      <c r="G33" s="48">
        <f t="shared" si="1"/>
        <v>0</v>
      </c>
    </row>
    <row r="34" spans="1:7" x14ac:dyDescent="0.25">
      <c r="A34" s="317">
        <v>24</v>
      </c>
      <c r="B34" s="88">
        <v>91</v>
      </c>
      <c r="C34" s="66" t="s">
        <v>229</v>
      </c>
      <c r="D34" s="56">
        <v>14612076</v>
      </c>
      <c r="E34" s="56">
        <f>'GF Exp by Func &amp; Mj Obj '!D148</f>
        <v>32444332</v>
      </c>
      <c r="F34" s="56">
        <f>'GF Exp by Func &amp; Mj Obj '!F148</f>
        <v>57404687</v>
      </c>
      <c r="G34" s="48">
        <f t="shared" si="1"/>
        <v>24960355</v>
      </c>
    </row>
    <row r="35" spans="1:7" x14ac:dyDescent="0.25">
      <c r="A35" s="317">
        <v>25</v>
      </c>
      <c r="B35" s="88">
        <v>93</v>
      </c>
      <c r="C35" s="66" t="s">
        <v>23</v>
      </c>
      <c r="D35" s="56">
        <v>114800</v>
      </c>
      <c r="E35" s="56">
        <f>'GF Exp by Func &amp; Mj Obj '!D157</f>
        <v>210000</v>
      </c>
      <c r="F35" s="56">
        <f>'GF Exp by Func &amp; Mj Obj '!F157</f>
        <v>210000</v>
      </c>
      <c r="G35" s="48">
        <f t="shared" si="1"/>
        <v>0</v>
      </c>
    </row>
    <row r="36" spans="1:7" x14ac:dyDescent="0.25">
      <c r="A36" s="317">
        <v>26</v>
      </c>
      <c r="B36" s="88">
        <v>95</v>
      </c>
      <c r="C36" s="66" t="s">
        <v>190</v>
      </c>
      <c r="D36" s="56">
        <v>12276</v>
      </c>
      <c r="E36" s="56">
        <f>'GF Exp by Func &amp; Mj Obj '!D161</f>
        <v>200000</v>
      </c>
      <c r="F36" s="56">
        <f>'GF Exp by Func &amp; Mj Obj '!F161</f>
        <v>200000</v>
      </c>
      <c r="G36" s="48">
        <f t="shared" si="1"/>
        <v>0</v>
      </c>
    </row>
    <row r="37" spans="1:7" x14ac:dyDescent="0.25">
      <c r="A37" s="317">
        <v>27</v>
      </c>
      <c r="B37" s="88">
        <v>99</v>
      </c>
      <c r="C37" s="66" t="s">
        <v>24</v>
      </c>
      <c r="D37" s="56">
        <v>3402995</v>
      </c>
      <c r="E37" s="56">
        <f>'GF Exp by Func &amp; Mj Obj '!D165</f>
        <v>3850000</v>
      </c>
      <c r="F37" s="56">
        <f>'GF Exp by Func &amp; Mj Obj '!F165</f>
        <v>4100000</v>
      </c>
      <c r="G37" s="48">
        <f t="shared" si="1"/>
        <v>250000</v>
      </c>
    </row>
    <row r="38" spans="1:7" x14ac:dyDescent="0.25">
      <c r="A38" s="317">
        <v>28</v>
      </c>
      <c r="B38" s="88"/>
      <c r="C38" s="2" t="s">
        <v>25</v>
      </c>
      <c r="D38" s="61">
        <f t="shared" ref="D38:E38" si="2">SUM(D16:D37)</f>
        <v>506719469</v>
      </c>
      <c r="E38" s="61">
        <f t="shared" si="2"/>
        <v>543060739.00000012</v>
      </c>
      <c r="F38" s="61">
        <f>SUM(F16:F37)</f>
        <v>579111005</v>
      </c>
      <c r="G38" s="61">
        <f>SUM(G16:G37)</f>
        <v>36050265.999999881</v>
      </c>
    </row>
    <row r="39" spans="1:7" x14ac:dyDescent="0.25">
      <c r="B39" s="88"/>
      <c r="C39" s="75"/>
      <c r="D39" s="89"/>
      <c r="E39" s="48"/>
      <c r="F39" s="48"/>
      <c r="G39" s="48"/>
    </row>
    <row r="40" spans="1:7" x14ac:dyDescent="0.25">
      <c r="B40" s="88"/>
      <c r="C40" s="75"/>
      <c r="D40" s="89"/>
      <c r="E40" s="48"/>
      <c r="F40" s="48"/>
      <c r="G40" s="48"/>
    </row>
    <row r="41" spans="1:7" x14ac:dyDescent="0.25">
      <c r="B41" s="88"/>
      <c r="C41" s="2" t="s">
        <v>172</v>
      </c>
      <c r="D41" s="89"/>
      <c r="E41" s="48"/>
      <c r="F41" s="48"/>
      <c r="G41" s="48"/>
    </row>
    <row r="42" spans="1:7" x14ac:dyDescent="0.25">
      <c r="A42" s="317">
        <v>29</v>
      </c>
      <c r="B42" s="88"/>
      <c r="C42" s="2" t="s">
        <v>173</v>
      </c>
      <c r="D42" s="79">
        <f>+D13-D38</f>
        <v>-5815918</v>
      </c>
      <c r="E42" s="351">
        <f t="shared" ref="E42" si="3">+E13-E38</f>
        <v>-12384168.000000119</v>
      </c>
      <c r="F42" s="351">
        <f>+F13-F38</f>
        <v>-26616346</v>
      </c>
      <c r="G42" s="351">
        <f>+G13-G38</f>
        <v>-14232177.999999881</v>
      </c>
    </row>
    <row r="43" spans="1:7" x14ac:dyDescent="0.25">
      <c r="B43" s="88"/>
      <c r="C43" s="2"/>
      <c r="D43" s="65"/>
      <c r="E43" s="48"/>
      <c r="F43" s="48"/>
      <c r="G43" s="48"/>
    </row>
    <row r="44" spans="1:7" x14ac:dyDescent="0.25">
      <c r="B44" s="88"/>
      <c r="C44" s="2" t="s">
        <v>185</v>
      </c>
      <c r="D44" s="65"/>
      <c r="E44" s="48"/>
      <c r="F44" s="48"/>
      <c r="G44" s="48"/>
    </row>
    <row r="45" spans="1:7" x14ac:dyDescent="0.25">
      <c r="A45" s="317">
        <v>30</v>
      </c>
      <c r="B45" s="88"/>
      <c r="C45" s="75" t="s">
        <v>29</v>
      </c>
      <c r="D45" s="56">
        <f>57395+22437558</f>
        <v>22494953</v>
      </c>
      <c r="E45" s="48">
        <v>0</v>
      </c>
      <c r="F45" s="48">
        <v>0</v>
      </c>
      <c r="G45" s="48">
        <f>+F45-E45</f>
        <v>0</v>
      </c>
    </row>
    <row r="46" spans="1:7" x14ac:dyDescent="0.25">
      <c r="A46" s="317">
        <v>31</v>
      </c>
      <c r="B46" s="88"/>
      <c r="C46" s="75" t="s">
        <v>30</v>
      </c>
      <c r="D46" s="56">
        <v>-31038</v>
      </c>
      <c r="E46" s="48">
        <v>0</v>
      </c>
      <c r="F46" s="48">
        <v>0</v>
      </c>
      <c r="G46" s="48">
        <f>+F46-E46</f>
        <v>0</v>
      </c>
    </row>
    <row r="47" spans="1:7" x14ac:dyDescent="0.25">
      <c r="A47" s="317">
        <v>32</v>
      </c>
      <c r="B47" s="88"/>
      <c r="C47" s="16" t="s">
        <v>31</v>
      </c>
      <c r="D47" s="266">
        <f>SUM(D45:D46)</f>
        <v>22463915</v>
      </c>
      <c r="E47" s="61">
        <f>SUM(E45:E46)</f>
        <v>0</v>
      </c>
      <c r="F47" s="61">
        <f>SUM(F45:F46)</f>
        <v>0</v>
      </c>
      <c r="G47" s="61">
        <f>SUM(G45:G46)</f>
        <v>0</v>
      </c>
    </row>
    <row r="48" spans="1:7" x14ac:dyDescent="0.25">
      <c r="B48" s="88"/>
      <c r="C48" s="75"/>
      <c r="D48" s="89"/>
      <c r="E48" s="48"/>
      <c r="F48" s="48"/>
      <c r="G48" s="48"/>
    </row>
    <row r="49" spans="1:7" ht="15.75" thickBot="1" x14ac:dyDescent="0.3">
      <c r="A49" s="317">
        <v>33</v>
      </c>
      <c r="B49" s="88"/>
      <c r="C49" s="2" t="s">
        <v>156</v>
      </c>
      <c r="D49" s="104">
        <f>+D42+D47</f>
        <v>16647997</v>
      </c>
      <c r="E49" s="104">
        <f>+E42+E47</f>
        <v>-12384168.000000119</v>
      </c>
      <c r="F49" s="104">
        <f>+F42+F47</f>
        <v>-26616346</v>
      </c>
      <c r="G49" s="104">
        <f>+G42+G47</f>
        <v>-14232177.999999881</v>
      </c>
    </row>
    <row r="50" spans="1:7" ht="15.75" thickTop="1" x14ac:dyDescent="0.25">
      <c r="B50" s="88"/>
      <c r="C50" s="75"/>
      <c r="D50" s="89"/>
      <c r="E50" s="48"/>
      <c r="F50" s="48"/>
      <c r="G50" s="48"/>
    </row>
    <row r="51" spans="1:7" hidden="1" x14ac:dyDescent="0.25">
      <c r="B51" s="88"/>
      <c r="C51" s="39" t="s">
        <v>34</v>
      </c>
      <c r="D51" s="56">
        <v>158671093</v>
      </c>
      <c r="E51" s="352">
        <f>D52</f>
        <v>175319090</v>
      </c>
      <c r="F51" s="352" t="e">
        <f>+#REF!</f>
        <v>#REF!</v>
      </c>
      <c r="G51" s="78"/>
    </row>
    <row r="52" spans="1:7" ht="15.75" hidden="1" thickBot="1" x14ac:dyDescent="0.3">
      <c r="B52" s="88"/>
      <c r="C52" s="2" t="s">
        <v>35</v>
      </c>
      <c r="D52" s="86">
        <f t="shared" ref="D52:E52" si="4">SUM(D49:D51)</f>
        <v>175319090</v>
      </c>
      <c r="E52" s="353">
        <f t="shared" si="4"/>
        <v>162934921.99999988</v>
      </c>
      <c r="F52" s="353" t="e">
        <f>SUM(F49:F51)</f>
        <v>#REF!</v>
      </c>
      <c r="G52" s="78"/>
    </row>
    <row r="53" spans="1:7" hidden="1" x14ac:dyDescent="0.25">
      <c r="B53" s="88"/>
      <c r="C53" s="75"/>
      <c r="D53" s="65"/>
      <c r="E53" s="48"/>
      <c r="F53" s="48"/>
      <c r="G53" s="78"/>
    </row>
    <row r="54" spans="1:7" x14ac:dyDescent="0.25">
      <c r="B54" s="279"/>
      <c r="C54" s="280"/>
      <c r="D54" s="281"/>
      <c r="E54" s="354"/>
      <c r="F54" s="354"/>
      <c r="G54" s="78"/>
    </row>
    <row r="55" spans="1:7" x14ac:dyDescent="0.25">
      <c r="B55" s="279"/>
      <c r="C55" s="279"/>
      <c r="D55" s="281"/>
      <c r="E55" s="354"/>
      <c r="F55" s="354"/>
      <c r="G55" s="48"/>
    </row>
    <row r="56" spans="1:7" x14ac:dyDescent="0.25">
      <c r="B56" s="279"/>
      <c r="C56" s="279"/>
      <c r="D56" s="281"/>
      <c r="E56" s="354"/>
      <c r="F56" s="354"/>
      <c r="G56" s="48"/>
    </row>
    <row r="57" spans="1:7" x14ac:dyDescent="0.25">
      <c r="B57" s="279"/>
      <c r="C57" s="279"/>
      <c r="D57" s="281"/>
      <c r="E57" s="354"/>
      <c r="F57" s="354"/>
      <c r="G57" s="48"/>
    </row>
    <row r="58" spans="1:7" x14ac:dyDescent="0.25">
      <c r="B58" s="279"/>
      <c r="C58" s="280"/>
      <c r="D58" s="281"/>
      <c r="E58" s="354"/>
      <c r="F58" s="355"/>
      <c r="G58" s="48"/>
    </row>
    <row r="59" spans="1:7" x14ac:dyDescent="0.25">
      <c r="B59" s="279"/>
      <c r="C59" s="279"/>
      <c r="D59" s="281"/>
      <c r="E59" s="354"/>
      <c r="F59" s="354"/>
      <c r="G59" s="48"/>
    </row>
    <row r="60" spans="1:7" x14ac:dyDescent="0.25">
      <c r="B60" s="279"/>
      <c r="C60" s="279"/>
      <c r="D60" s="281"/>
      <c r="E60" s="354"/>
      <c r="F60" s="354"/>
      <c r="G60" s="144"/>
    </row>
    <row r="61" spans="1:7" x14ac:dyDescent="0.25">
      <c r="B61" s="88"/>
      <c r="C61" s="88"/>
      <c r="D61" s="89"/>
      <c r="E61" s="56"/>
      <c r="F61" s="56"/>
      <c r="G61" s="144"/>
    </row>
    <row r="62" spans="1:7" x14ac:dyDescent="0.25">
      <c r="B62" s="88"/>
      <c r="C62" s="88"/>
      <c r="D62" s="89"/>
      <c r="E62" s="56"/>
      <c r="F62" s="56"/>
      <c r="G62" s="144"/>
    </row>
    <row r="63" spans="1:7" x14ac:dyDescent="0.25">
      <c r="B63" s="88"/>
      <c r="C63" s="88"/>
      <c r="D63" s="89"/>
      <c r="E63" s="56"/>
      <c r="F63" s="56"/>
      <c r="G63" s="144"/>
    </row>
    <row r="64" spans="1:7" x14ac:dyDescent="0.25">
      <c r="B64" s="88"/>
      <c r="C64" s="88"/>
      <c r="D64" s="89"/>
      <c r="E64" s="56"/>
      <c r="F64" s="56"/>
      <c r="G64" s="144"/>
    </row>
    <row r="65" spans="2:7" x14ac:dyDescent="0.25">
      <c r="B65" s="88"/>
      <c r="C65" s="88"/>
      <c r="D65" s="89"/>
      <c r="E65" s="56"/>
      <c r="F65" s="56"/>
      <c r="G65" s="144"/>
    </row>
    <row r="66" spans="2:7" x14ac:dyDescent="0.25">
      <c r="B66" s="88"/>
      <c r="C66" s="88"/>
      <c r="D66" s="89"/>
      <c r="E66" s="56"/>
      <c r="F66" s="56"/>
      <c r="G66" s="144"/>
    </row>
  </sheetData>
  <mergeCells count="2">
    <mergeCell ref="C1:G1"/>
    <mergeCell ref="C2:G2"/>
  </mergeCells>
  <pageMargins left="0.7" right="0.7" top="0.75" bottom="0.75" header="0.3" footer="0.3"/>
  <pageSetup scale="74" orientation="portrait" r:id="rId1"/>
  <headerFooter>
    <oddFooter>&amp;C&amp;"Arial,Regular"&amp;10 -2-</oddFooter>
  </headerFooter>
  <ignoredErrors>
    <ignoredError sqref="D9:D10 E9:E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4585-9C15-4467-81B9-ED381157B5F9}">
  <sheetPr>
    <tabColor rgb="FFFF00FF"/>
  </sheetPr>
  <dimension ref="A1:AB66"/>
  <sheetViews>
    <sheetView topLeftCell="A7" zoomScaleNormal="100" workbookViewId="0">
      <selection activeCell="F9" sqref="F9"/>
    </sheetView>
  </sheetViews>
  <sheetFormatPr defaultColWidth="9.140625" defaultRowHeight="15" x14ac:dyDescent="0.25"/>
  <cols>
    <col min="1" max="1" width="5.5703125" style="49" customWidth="1"/>
    <col min="2" max="2" width="40.42578125" style="49" customWidth="1"/>
    <col min="3" max="3" width="15.5703125" style="29" customWidth="1"/>
    <col min="4" max="4" width="16.85546875" style="29" customWidth="1"/>
    <col min="5" max="5" width="16.140625" style="29" hidden="1" customWidth="1"/>
    <col min="6" max="6" width="16.7109375" style="29" bestFit="1" customWidth="1"/>
    <col min="7" max="7" width="18.140625" style="49" customWidth="1"/>
    <col min="8" max="8" width="9.140625" style="49"/>
    <col min="9" max="15" width="0" style="49" hidden="1" customWidth="1"/>
    <col min="16" max="16" width="9.140625" style="49"/>
    <col min="17" max="17" width="27.42578125" style="49" bestFit="1" customWidth="1"/>
    <col min="18" max="18" width="0.85546875" style="49" customWidth="1"/>
    <col min="19" max="19" width="9.140625" style="49"/>
    <col min="20" max="20" width="0.7109375" style="49" customWidth="1"/>
    <col min="21" max="21" width="9.140625" style="49"/>
    <col min="22" max="22" width="0.7109375" style="49" customWidth="1"/>
    <col min="23" max="23" width="9.140625" style="49" customWidth="1"/>
    <col min="24" max="24" width="0.85546875" style="49" customWidth="1"/>
    <col min="25" max="25" width="9.140625" style="49" customWidth="1"/>
    <col min="26" max="26" width="0.5703125" style="49" customWidth="1"/>
    <col min="27" max="16384" width="9.140625" style="49"/>
  </cols>
  <sheetData>
    <row r="1" spans="1:28" x14ac:dyDescent="0.25">
      <c r="A1" s="88"/>
      <c r="B1" s="386" t="s">
        <v>0</v>
      </c>
      <c r="C1" s="386"/>
      <c r="D1" s="386"/>
      <c r="E1" s="386"/>
      <c r="F1" s="386"/>
      <c r="G1" s="386"/>
      <c r="H1" s="5"/>
    </row>
    <row r="2" spans="1:28" x14ac:dyDescent="0.25">
      <c r="A2" s="88"/>
      <c r="B2" s="386" t="s">
        <v>149</v>
      </c>
      <c r="C2" s="386"/>
      <c r="D2" s="386"/>
      <c r="E2" s="386"/>
      <c r="F2" s="386"/>
      <c r="G2" s="386"/>
      <c r="H2" s="5"/>
    </row>
    <row r="3" spans="1:28" x14ac:dyDescent="0.25">
      <c r="A3" s="88"/>
      <c r="B3" s="18"/>
      <c r="C3" s="18"/>
      <c r="D3" s="18"/>
      <c r="E3" s="284"/>
      <c r="F3" s="72"/>
      <c r="G3" s="34" t="s">
        <v>169</v>
      </c>
      <c r="H3" s="5"/>
    </row>
    <row r="4" spans="1:28" x14ac:dyDescent="0.25">
      <c r="A4" s="88"/>
      <c r="B4" s="8"/>
      <c r="C4" s="60"/>
      <c r="D4" s="60"/>
      <c r="E4" s="60"/>
      <c r="F4" s="60"/>
      <c r="G4" s="44" t="s">
        <v>210</v>
      </c>
      <c r="H4" s="5"/>
    </row>
    <row r="5" spans="1:28" x14ac:dyDescent="0.25">
      <c r="A5" s="88"/>
      <c r="B5" s="9"/>
      <c r="C5" s="44" t="s">
        <v>1</v>
      </c>
      <c r="D5" s="44"/>
      <c r="E5" s="44"/>
      <c r="F5" s="44"/>
      <c r="G5" s="44" t="s">
        <v>170</v>
      </c>
      <c r="H5" s="5"/>
    </row>
    <row r="6" spans="1:28" x14ac:dyDescent="0.25">
      <c r="A6" s="88"/>
      <c r="B6" s="9"/>
      <c r="C6" s="91" t="s">
        <v>45</v>
      </c>
      <c r="D6" s="139" t="s">
        <v>152</v>
      </c>
      <c r="E6" s="44" t="s">
        <v>155</v>
      </c>
      <c r="F6" s="3" t="s">
        <v>208</v>
      </c>
      <c r="G6" s="44" t="s">
        <v>211</v>
      </c>
      <c r="H6" s="5"/>
    </row>
    <row r="7" spans="1:28" x14ac:dyDescent="0.25">
      <c r="A7" s="88"/>
      <c r="B7" s="75"/>
      <c r="C7" s="46" t="s">
        <v>168</v>
      </c>
      <c r="D7" s="54" t="s">
        <v>171</v>
      </c>
      <c r="E7" s="46" t="s">
        <v>167</v>
      </c>
      <c r="F7" s="53" t="s">
        <v>209</v>
      </c>
      <c r="G7" s="46" t="s">
        <v>208</v>
      </c>
      <c r="H7" s="5"/>
    </row>
    <row r="8" spans="1:28" x14ac:dyDescent="0.25">
      <c r="A8" s="88"/>
      <c r="B8" s="2" t="s">
        <v>3</v>
      </c>
      <c r="C8" s="65"/>
      <c r="D8" s="74"/>
      <c r="E8" s="65"/>
      <c r="F8" s="75"/>
      <c r="G8" s="65"/>
      <c r="H8" s="5"/>
    </row>
    <row r="9" spans="1:28" x14ac:dyDescent="0.25">
      <c r="A9" s="88"/>
      <c r="B9" s="39" t="s">
        <v>36</v>
      </c>
      <c r="C9" s="59">
        <f>SUM('GF Rev by Obj'!D8:D10)</f>
        <v>411640277.85000002</v>
      </c>
      <c r="D9" s="41">
        <f>ROUND(SUM('GF Rev by Obj'!E8:E10),0)</f>
        <v>438366366</v>
      </c>
      <c r="E9" s="41" t="e">
        <f>+'GF Rev by Obj'!#REF!+'GF Rev by Obj'!#REF!+'GF Rev by Obj'!#REF!</f>
        <v>#REF!</v>
      </c>
      <c r="F9" s="41">
        <f>ROUND(SUM('GF Rev by Obj'!F8:F10),0)</f>
        <v>475440918</v>
      </c>
      <c r="G9" s="41">
        <f>+F9-D9</f>
        <v>37074552</v>
      </c>
      <c r="H9" s="5"/>
    </row>
    <row r="10" spans="1:28" x14ac:dyDescent="0.25">
      <c r="A10" s="88"/>
      <c r="B10" s="39" t="s">
        <v>37</v>
      </c>
      <c r="C10" s="56">
        <f>SUM('GF Rev by Obj'!D11:D23)</f>
        <v>13457487.73</v>
      </c>
      <c r="D10" s="48">
        <f>ROUND(SUM('GF Rev by Obj'!E11:E23),0)</f>
        <v>15918603</v>
      </c>
      <c r="E10" s="48" t="e">
        <f>+'GF Rev by Obj'!#REF!-'GF by funct '!#REF!</f>
        <v>#REF!</v>
      </c>
      <c r="F10" s="48">
        <f>ROUND(SUM('GF Rev by Obj'!F11:F23),0)</f>
        <v>15258305</v>
      </c>
      <c r="G10" s="48">
        <f>+F10-D10</f>
        <v>-660298</v>
      </c>
      <c r="H10" s="5"/>
    </row>
    <row r="11" spans="1:28" x14ac:dyDescent="0.25">
      <c r="A11" s="88"/>
      <c r="B11" s="39" t="s">
        <v>38</v>
      </c>
      <c r="C11" s="56">
        <f>'GF Rev by Obj'!D33</f>
        <v>66818828.159999996</v>
      </c>
      <c r="D11" s="58">
        <f>ROUND(SUM('GF Rev by Obj'!E27:E32),0)</f>
        <v>66397489</v>
      </c>
      <c r="E11" s="76" t="e">
        <f>+'GF Rev by Obj'!#REF!</f>
        <v>#REF!</v>
      </c>
      <c r="F11" s="76">
        <f>ROUND(SUM('GF Rev by Obj'!F27:F32),0)</f>
        <v>52355584</v>
      </c>
      <c r="G11" s="48">
        <f t="shared" ref="G11:G12" si="0">+F11-D11</f>
        <v>-14041905</v>
      </c>
      <c r="H11" s="5"/>
    </row>
    <row r="12" spans="1:28" x14ac:dyDescent="0.25">
      <c r="A12" s="88"/>
      <c r="B12" s="39" t="s">
        <v>42</v>
      </c>
      <c r="C12" s="56">
        <f>'GF Rev by Obj'!D42</f>
        <v>8986957.2300000004</v>
      </c>
      <c r="D12" s="58">
        <f>SUM('GF Rev by Obj'!E36:E41)</f>
        <v>9994113</v>
      </c>
      <c r="E12" s="58" t="e">
        <f>+'GF Rev by Obj'!#REF!</f>
        <v>#REF!</v>
      </c>
      <c r="F12" s="58">
        <f>ROUND(SUM('GF Rev by Obj'!F36:F41),0)</f>
        <v>9439852</v>
      </c>
      <c r="G12" s="48">
        <f t="shared" si="0"/>
        <v>-554261</v>
      </c>
      <c r="H12" s="5"/>
    </row>
    <row r="13" spans="1:28" x14ac:dyDescent="0.25">
      <c r="A13" s="88"/>
      <c r="B13" s="35" t="s">
        <v>188</v>
      </c>
      <c r="C13" s="77">
        <f t="shared" ref="C13:D13" si="1">SUM(C9:C12)</f>
        <v>500903550.97000003</v>
      </c>
      <c r="D13" s="77">
        <f t="shared" si="1"/>
        <v>530676571</v>
      </c>
      <c r="E13" s="77" t="e">
        <f>SUM(E9:E12)</f>
        <v>#REF!</v>
      </c>
      <c r="F13" s="77">
        <f>SUM(F9:F12)</f>
        <v>552494659</v>
      </c>
      <c r="G13" s="278">
        <f>SUM(G9:G12)</f>
        <v>21818088</v>
      </c>
      <c r="H13" s="5"/>
    </row>
    <row r="14" spans="1:28" x14ac:dyDescent="0.25">
      <c r="A14" s="88"/>
      <c r="B14" s="75"/>
      <c r="C14" s="89"/>
      <c r="D14" s="74"/>
      <c r="E14" s="65"/>
      <c r="F14" s="65"/>
      <c r="G14" s="65"/>
      <c r="H14" s="5"/>
    </row>
    <row r="15" spans="1:28" x14ac:dyDescent="0.25">
      <c r="A15" s="88"/>
      <c r="B15" s="2" t="s">
        <v>4</v>
      </c>
      <c r="C15" s="89"/>
      <c r="D15" s="74"/>
      <c r="E15" s="65"/>
      <c r="F15" s="65"/>
      <c r="G15" s="65"/>
      <c r="H15" s="5"/>
      <c r="S15" s="293">
        <v>5.0000000000000001E-3</v>
      </c>
      <c r="T15" s="296"/>
      <c r="U15" s="294">
        <v>0.01</v>
      </c>
      <c r="V15" s="294"/>
      <c r="W15" s="294">
        <v>0.02</v>
      </c>
      <c r="X15" s="294"/>
      <c r="Y15" s="299">
        <v>2.5000000000000001E-2</v>
      </c>
      <c r="Z15" s="293"/>
      <c r="AA15" s="294">
        <v>0.03</v>
      </c>
    </row>
    <row r="16" spans="1:28" x14ac:dyDescent="0.25">
      <c r="A16" s="88">
        <v>11</v>
      </c>
      <c r="B16" s="66" t="s">
        <v>5</v>
      </c>
      <c r="C16" s="56">
        <v>295395689</v>
      </c>
      <c r="D16" s="56">
        <f>'GF Exp by Func &amp; Mj Obj '!D14</f>
        <v>311727753.00000012</v>
      </c>
      <c r="E16" s="48">
        <f>250400383.36+1130569.45+209709.09</f>
        <v>251740661.90000001</v>
      </c>
      <c r="F16" s="56">
        <f>'2.5% Pay Increase'!E14</f>
        <v>292140617</v>
      </c>
      <c r="G16" s="48">
        <f>+F16-D16</f>
        <v>-19587136.000000119</v>
      </c>
      <c r="H16" s="5"/>
      <c r="S16" s="42">
        <v>1132601</v>
      </c>
      <c r="T16" s="297"/>
      <c r="U16" s="42">
        <v>2270851</v>
      </c>
      <c r="V16" s="42"/>
      <c r="W16" s="42">
        <v>4564297</v>
      </c>
      <c r="X16" s="42"/>
      <c r="Y16" s="42">
        <v>5719493</v>
      </c>
      <c r="Z16" s="42"/>
      <c r="AA16" s="42">
        <v>6880338</v>
      </c>
      <c r="AB16" s="31"/>
    </row>
    <row r="17" spans="1:28" x14ac:dyDescent="0.25">
      <c r="A17" s="88">
        <v>12</v>
      </c>
      <c r="B17" s="66" t="s">
        <v>6</v>
      </c>
      <c r="C17" s="56">
        <v>6704398</v>
      </c>
      <c r="D17" s="56">
        <f>'GF Exp by Func &amp; Mj Obj '!D21</f>
        <v>6633367</v>
      </c>
      <c r="E17" s="48">
        <f>5814724.33+25963.26</f>
        <v>5840687.5899999999</v>
      </c>
      <c r="F17" s="56">
        <f>'2.5% Pay Increase'!E21</f>
        <v>6454003</v>
      </c>
      <c r="G17" s="48">
        <f t="shared" ref="G17:G37" si="2">+F17-D17</f>
        <v>-179364</v>
      </c>
      <c r="H17" s="5"/>
      <c r="S17" s="42">
        <v>22846</v>
      </c>
      <c r="T17" s="297"/>
      <c r="U17" s="42">
        <v>45806</v>
      </c>
      <c r="V17" s="42"/>
      <c r="W17" s="42">
        <v>92067</v>
      </c>
      <c r="X17" s="42"/>
      <c r="Y17" s="42">
        <v>115368</v>
      </c>
      <c r="Z17" s="42"/>
      <c r="AA17" s="42">
        <v>138784</v>
      </c>
      <c r="AB17" s="31"/>
    </row>
    <row r="18" spans="1:28" x14ac:dyDescent="0.25">
      <c r="A18" s="88">
        <v>13</v>
      </c>
      <c r="B18" s="66" t="s">
        <v>7</v>
      </c>
      <c r="C18" s="56">
        <v>2314061</v>
      </c>
      <c r="D18" s="56">
        <f>'GF Exp by Func &amp; Mj Obj '!D28</f>
        <v>3478499</v>
      </c>
      <c r="E18" s="48">
        <f>1794486.14+44257.66+5953.05</f>
        <v>1844696.8499999999</v>
      </c>
      <c r="F18" s="56">
        <f>'2.5% Pay Increase'!E28</f>
        <v>2496382</v>
      </c>
      <c r="G18" s="48">
        <f t="shared" si="2"/>
        <v>-982117</v>
      </c>
      <c r="H18" s="5"/>
      <c r="S18" s="42">
        <v>3491</v>
      </c>
      <c r="T18" s="297"/>
      <c r="U18" s="42">
        <v>7000</v>
      </c>
      <c r="V18" s="42"/>
      <c r="W18" s="42">
        <v>14070</v>
      </c>
      <c r="X18" s="42"/>
      <c r="Y18" s="42">
        <v>17631</v>
      </c>
      <c r="Z18" s="42"/>
      <c r="AA18" s="42">
        <v>21210</v>
      </c>
      <c r="AB18" s="31"/>
    </row>
    <row r="19" spans="1:28" x14ac:dyDescent="0.25">
      <c r="A19" s="88">
        <v>21</v>
      </c>
      <c r="B19" s="66" t="s">
        <v>8</v>
      </c>
      <c r="C19" s="56">
        <v>10129682</v>
      </c>
      <c r="D19" s="56">
        <f>'GF Exp by Func &amp; Mj Obj '!D35</f>
        <v>11877813</v>
      </c>
      <c r="E19" s="48">
        <f>8345619.99+25239.09+9358.83</f>
        <v>8380217.9100000001</v>
      </c>
      <c r="F19" s="56">
        <f>'2.5% Pay Increase'!E35</f>
        <v>10995173</v>
      </c>
      <c r="G19" s="48">
        <f t="shared" si="2"/>
        <v>-882640</v>
      </c>
      <c r="H19" s="5"/>
      <c r="S19" s="42">
        <v>44324</v>
      </c>
      <c r="T19" s="297"/>
      <c r="U19" s="42">
        <v>88868</v>
      </c>
      <c r="V19" s="42"/>
      <c r="W19" s="42">
        <v>178621</v>
      </c>
      <c r="X19" s="42"/>
      <c r="Y19" s="42">
        <v>223829</v>
      </c>
      <c r="Z19" s="42"/>
      <c r="AA19" s="42">
        <v>269258</v>
      </c>
      <c r="AB19" s="31"/>
    </row>
    <row r="20" spans="1:28" x14ac:dyDescent="0.25">
      <c r="A20" s="88">
        <v>23</v>
      </c>
      <c r="B20" s="66" t="s">
        <v>9</v>
      </c>
      <c r="C20" s="56">
        <v>32352945</v>
      </c>
      <c r="D20" s="56">
        <f>'GF Exp by Func &amp; Mj Obj '!D42</f>
        <v>32687639</v>
      </c>
      <c r="E20" s="48">
        <f>27280216.66+37261.82+2596.94</f>
        <v>27320075.420000002</v>
      </c>
      <c r="F20" s="56">
        <f>'2.5% Pay Increase'!E42</f>
        <v>32058562</v>
      </c>
      <c r="G20" s="48">
        <f t="shared" si="2"/>
        <v>-629077</v>
      </c>
      <c r="H20" s="5"/>
      <c r="S20" s="42">
        <v>267545</v>
      </c>
      <c r="T20" s="297"/>
      <c r="U20" s="42">
        <v>399849</v>
      </c>
      <c r="V20" s="42"/>
      <c r="W20" s="42">
        <v>666418</v>
      </c>
      <c r="X20" s="42"/>
      <c r="Y20" s="42">
        <v>800682</v>
      </c>
      <c r="Z20" s="42"/>
      <c r="AA20" s="42">
        <v>935599</v>
      </c>
      <c r="AB20" s="31"/>
    </row>
    <row r="21" spans="1:28" x14ac:dyDescent="0.25">
      <c r="A21" s="88">
        <v>31</v>
      </c>
      <c r="B21" s="66" t="s">
        <v>10</v>
      </c>
      <c r="C21" s="56">
        <v>21563709</v>
      </c>
      <c r="D21" s="56">
        <f>'GF Exp by Func &amp; Mj Obj '!D49</f>
        <v>24064740</v>
      </c>
      <c r="E21" s="48">
        <f>17672092.61+27695.72+2957.4</f>
        <v>17702745.729999997</v>
      </c>
      <c r="F21" s="56">
        <f>'2.5% Pay Increase'!E49</f>
        <v>23373444</v>
      </c>
      <c r="G21" s="48">
        <f t="shared" si="2"/>
        <v>-691296</v>
      </c>
      <c r="H21" s="5"/>
      <c r="S21" s="42">
        <v>94301</v>
      </c>
      <c r="T21" s="297"/>
      <c r="U21" s="42">
        <v>189073</v>
      </c>
      <c r="V21" s="42"/>
      <c r="W21" s="42">
        <v>380028</v>
      </c>
      <c r="X21" s="42"/>
      <c r="Y21" s="42">
        <v>476211</v>
      </c>
      <c r="Z21" s="42"/>
      <c r="AA21" s="42">
        <v>572864</v>
      </c>
      <c r="AB21" s="31"/>
    </row>
    <row r="22" spans="1:28" x14ac:dyDescent="0.25">
      <c r="A22" s="88">
        <v>32</v>
      </c>
      <c r="B22" s="66" t="s">
        <v>11</v>
      </c>
      <c r="C22" s="56">
        <v>325302</v>
      </c>
      <c r="D22" s="56">
        <f>'GF Exp by Func &amp; Mj Obj '!D63</f>
        <v>404482</v>
      </c>
      <c r="E22" s="48">
        <f>882531.74+4177.2</f>
        <v>886708.94</v>
      </c>
      <c r="F22" s="56">
        <f>'2.5% Pay Increase'!E61</f>
        <v>236800</v>
      </c>
      <c r="G22" s="48">
        <f t="shared" si="2"/>
        <v>-167682</v>
      </c>
      <c r="H22" s="5"/>
      <c r="S22" s="42">
        <v>1025</v>
      </c>
      <c r="T22" s="297"/>
      <c r="U22" s="42">
        <v>2056</v>
      </c>
      <c r="V22" s="42"/>
      <c r="W22" s="42">
        <v>4132</v>
      </c>
      <c r="X22" s="42"/>
      <c r="Y22" s="42">
        <v>5177</v>
      </c>
      <c r="Z22" s="42"/>
      <c r="AA22" s="42">
        <v>6228</v>
      </c>
      <c r="AB22" s="31"/>
    </row>
    <row r="23" spans="1:28" x14ac:dyDescent="0.25">
      <c r="A23" s="88">
        <v>33</v>
      </c>
      <c r="B23" s="66" t="s">
        <v>12</v>
      </c>
      <c r="C23" s="56">
        <v>5664211</v>
      </c>
      <c r="D23" s="56">
        <f>'GF Exp by Func &amp; Mj Obj '!D70</f>
        <v>5726308</v>
      </c>
      <c r="E23" s="48">
        <f>4740397.6+6234.27+7.08</f>
        <v>4746638.9499999993</v>
      </c>
      <c r="F23" s="56">
        <f>'2.5% Pay Increase'!E68</f>
        <v>5586000</v>
      </c>
      <c r="G23" s="48">
        <f t="shared" si="2"/>
        <v>-140308</v>
      </c>
      <c r="H23" s="5"/>
      <c r="S23" s="42">
        <v>22368</v>
      </c>
      <c r="T23" s="297"/>
      <c r="U23" s="42">
        <v>44847</v>
      </c>
      <c r="V23" s="42"/>
      <c r="W23" s="42">
        <v>90140</v>
      </c>
      <c r="X23" s="42"/>
      <c r="Y23" s="42">
        <v>112954</v>
      </c>
      <c r="Z23" s="42"/>
      <c r="AA23" s="42">
        <v>135880</v>
      </c>
      <c r="AB23" s="31"/>
    </row>
    <row r="24" spans="1:28" x14ac:dyDescent="0.25">
      <c r="A24" s="88">
        <v>34</v>
      </c>
      <c r="B24" s="66" t="s">
        <v>13</v>
      </c>
      <c r="C24" s="56">
        <v>15515870</v>
      </c>
      <c r="D24" s="56">
        <f>'GF Exp by Func &amp; Mj Obj '!D77</f>
        <v>15469983</v>
      </c>
      <c r="E24" s="48">
        <f>13071453.53+4042.13</f>
        <v>13075495.66</v>
      </c>
      <c r="F24" s="56">
        <f>'2.5% Pay Increase'!E73</f>
        <v>16090364</v>
      </c>
      <c r="G24" s="48">
        <f t="shared" si="2"/>
        <v>620381</v>
      </c>
      <c r="H24" s="5"/>
      <c r="S24" s="42">
        <v>161</v>
      </c>
      <c r="T24" s="297"/>
      <c r="U24" s="42">
        <v>323</v>
      </c>
      <c r="V24" s="42"/>
      <c r="W24" s="42">
        <v>650</v>
      </c>
      <c r="X24" s="42"/>
      <c r="Y24" s="42">
        <v>814</v>
      </c>
      <c r="Z24" s="42"/>
      <c r="AA24" s="42">
        <v>979</v>
      </c>
      <c r="AB24" s="31"/>
    </row>
    <row r="25" spans="1:28" x14ac:dyDescent="0.25">
      <c r="A25" s="88">
        <v>35</v>
      </c>
      <c r="B25" s="66" t="s">
        <v>14</v>
      </c>
      <c r="C25" s="56">
        <v>35900</v>
      </c>
      <c r="D25" s="56">
        <f>'GF Exp by Func &amp; Mj Obj '!D85</f>
        <v>48777</v>
      </c>
      <c r="E25" s="48">
        <f>58137.95</f>
        <v>58137.95</v>
      </c>
      <c r="F25" s="56">
        <f>'2.5% Pay Increase'!E81</f>
        <v>36826</v>
      </c>
      <c r="G25" s="48">
        <f t="shared" si="2"/>
        <v>-11951</v>
      </c>
      <c r="H25" s="5"/>
      <c r="S25" s="42">
        <v>161</v>
      </c>
      <c r="T25" s="297"/>
      <c r="U25" s="42">
        <v>323</v>
      </c>
      <c r="V25" s="42"/>
      <c r="W25" s="42">
        <v>650</v>
      </c>
      <c r="X25" s="42"/>
      <c r="Y25" s="42">
        <v>814</v>
      </c>
      <c r="Z25" s="42"/>
      <c r="AA25" s="42">
        <v>979</v>
      </c>
      <c r="AB25" s="31"/>
    </row>
    <row r="26" spans="1:28" x14ac:dyDescent="0.25">
      <c r="A26" s="88">
        <v>36</v>
      </c>
      <c r="B26" s="66" t="s">
        <v>15</v>
      </c>
      <c r="C26" s="56">
        <v>10350197</v>
      </c>
      <c r="D26" s="56">
        <f>'GF Exp by Func &amp; Mj Obj '!D93</f>
        <v>12418867</v>
      </c>
      <c r="E26" s="48">
        <f>9625460.54+297750.93+3086.26</f>
        <v>9926297.7299999986</v>
      </c>
      <c r="F26" s="56">
        <f>'2.5% Pay Increase'!E89</f>
        <v>12227158</v>
      </c>
      <c r="G26" s="48">
        <f t="shared" si="2"/>
        <v>-191709</v>
      </c>
      <c r="H26" s="5"/>
      <c r="S26" s="42">
        <v>6128</v>
      </c>
      <c r="T26" s="297"/>
      <c r="U26" s="42">
        <v>12286</v>
      </c>
      <c r="V26" s="42"/>
      <c r="W26" s="42">
        <v>24694</v>
      </c>
      <c r="X26" s="42"/>
      <c r="Y26" s="42">
        <v>30944</v>
      </c>
      <c r="Z26" s="42"/>
      <c r="AA26" s="42">
        <v>37225</v>
      </c>
      <c r="AB26" s="31"/>
    </row>
    <row r="27" spans="1:28" x14ac:dyDescent="0.25">
      <c r="A27" s="88">
        <v>41</v>
      </c>
      <c r="B27" s="66" t="s">
        <v>16</v>
      </c>
      <c r="C27" s="56">
        <v>9704712</v>
      </c>
      <c r="D27" s="56">
        <f>'GF Exp by Func &amp; Mj Obj '!D101</f>
        <v>11565520</v>
      </c>
      <c r="E27" s="48">
        <f>8618600.5+139318.83+5504.88</f>
        <v>8763424.2100000009</v>
      </c>
      <c r="F27" s="56">
        <f>'2.5% Pay Increase'!E96</f>
        <v>11103590</v>
      </c>
      <c r="G27" s="48">
        <f t="shared" si="2"/>
        <v>-461930</v>
      </c>
      <c r="H27" s="5"/>
      <c r="S27" s="42">
        <v>176557</v>
      </c>
      <c r="T27" s="297"/>
      <c r="U27" s="42">
        <v>206743</v>
      </c>
      <c r="V27" s="42"/>
      <c r="W27" s="42">
        <v>267554</v>
      </c>
      <c r="X27" s="42"/>
      <c r="Y27" s="42">
        <v>298178</v>
      </c>
      <c r="Z27" s="42"/>
      <c r="AA27" s="42">
        <v>328949</v>
      </c>
      <c r="AB27" s="31"/>
    </row>
    <row r="28" spans="1:28" x14ac:dyDescent="0.25">
      <c r="A28" s="88">
        <v>51</v>
      </c>
      <c r="B28" s="66" t="s">
        <v>17</v>
      </c>
      <c r="C28" s="56">
        <v>39886191</v>
      </c>
      <c r="D28" s="56">
        <f>'GF Exp by Func &amp; Mj Obj '!D109</f>
        <v>44310942</v>
      </c>
      <c r="E28" s="48">
        <f>29174837.07+2425224.96+2294125.51</f>
        <v>33894187.539999999</v>
      </c>
      <c r="F28" s="56">
        <f>'2.5% Pay Increase'!E104</f>
        <v>43453730</v>
      </c>
      <c r="G28" s="48">
        <f t="shared" si="2"/>
        <v>-857212</v>
      </c>
      <c r="H28" s="5"/>
      <c r="S28" s="42">
        <v>29491</v>
      </c>
      <c r="T28" s="297"/>
      <c r="U28" s="42">
        <v>59128</v>
      </c>
      <c r="V28" s="42"/>
      <c r="W28" s="42">
        <v>118845</v>
      </c>
      <c r="X28" s="42"/>
      <c r="Y28" s="42">
        <v>148924</v>
      </c>
      <c r="Z28" s="42"/>
      <c r="AA28" s="42">
        <v>179150</v>
      </c>
      <c r="AB28" s="31"/>
    </row>
    <row r="29" spans="1:28" x14ac:dyDescent="0.25">
      <c r="A29" s="88">
        <v>52</v>
      </c>
      <c r="B29" s="66" t="s">
        <v>18</v>
      </c>
      <c r="C29" s="56">
        <v>2116763</v>
      </c>
      <c r="D29" s="56">
        <f>'GF Exp by Func &amp; Mj Obj '!D124</f>
        <v>3493183</v>
      </c>
      <c r="E29" s="48">
        <f>1841394.27+178803.49</f>
        <v>2020197.76</v>
      </c>
      <c r="F29" s="56">
        <f>'2.5% Pay Increase'!E119</f>
        <v>3364267</v>
      </c>
      <c r="G29" s="48">
        <f t="shared" si="2"/>
        <v>-128916</v>
      </c>
      <c r="H29" s="5"/>
      <c r="S29" s="42">
        <v>4450</v>
      </c>
      <c r="T29" s="297"/>
      <c r="U29" s="42">
        <v>8923</v>
      </c>
      <c r="V29" s="42"/>
      <c r="W29" s="42">
        <v>17934</v>
      </c>
      <c r="X29" s="42"/>
      <c r="Y29" s="42">
        <v>22473</v>
      </c>
      <c r="Z29" s="42"/>
      <c r="AA29" s="42">
        <v>27034</v>
      </c>
      <c r="AB29" s="31"/>
    </row>
    <row r="30" spans="1:28" x14ac:dyDescent="0.25">
      <c r="A30" s="88">
        <v>53</v>
      </c>
      <c r="B30" s="66" t="s">
        <v>19</v>
      </c>
      <c r="C30" s="56">
        <v>11022216</v>
      </c>
      <c r="D30" s="56">
        <f>'GF Exp by Func &amp; Mj Obj '!D132</f>
        <v>12883234</v>
      </c>
      <c r="E30" s="48">
        <f>8788849.2+210912.26+117966.87</f>
        <v>9117728.3299999982</v>
      </c>
      <c r="F30" s="56">
        <f>'2.5% Pay Increase'!E127</f>
        <v>12167321</v>
      </c>
      <c r="G30" s="48">
        <f t="shared" si="2"/>
        <v>-715913</v>
      </c>
      <c r="H30" s="5"/>
      <c r="S30" s="42">
        <v>31746</v>
      </c>
      <c r="T30" s="297"/>
      <c r="U30" s="42">
        <v>63650</v>
      </c>
      <c r="V30" s="42"/>
      <c r="W30" s="42">
        <v>127934</v>
      </c>
      <c r="X30" s="42"/>
      <c r="Y30" s="42">
        <v>160314</v>
      </c>
      <c r="Z30" s="42"/>
      <c r="AA30" s="42">
        <v>192851</v>
      </c>
      <c r="AB30" s="31"/>
    </row>
    <row r="31" spans="1:28" x14ac:dyDescent="0.25">
      <c r="A31" s="88">
        <v>61</v>
      </c>
      <c r="B31" s="66" t="s">
        <v>20</v>
      </c>
      <c r="C31" s="56">
        <v>6605359</v>
      </c>
      <c r="D31" s="56">
        <f>'GF Exp by Func &amp; Mj Obj '!D139</f>
        <v>9565300</v>
      </c>
      <c r="E31" s="48">
        <f>5386295.69+19884.79+95.47</f>
        <v>5406275.9500000002</v>
      </c>
      <c r="F31" s="56">
        <f>'2.5% Pay Increase'!E134</f>
        <v>8368973</v>
      </c>
      <c r="G31" s="48">
        <f t="shared" si="2"/>
        <v>-1196327</v>
      </c>
      <c r="H31" s="5"/>
      <c r="S31" s="42">
        <v>25783</v>
      </c>
      <c r="T31" s="297"/>
      <c r="U31" s="42">
        <v>51969</v>
      </c>
      <c r="V31" s="42"/>
      <c r="W31" s="42">
        <v>103906</v>
      </c>
      <c r="X31" s="42"/>
      <c r="Y31" s="42">
        <v>130203</v>
      </c>
      <c r="Z31" s="42"/>
      <c r="AA31" s="42">
        <v>156630</v>
      </c>
      <c r="AB31" s="31"/>
    </row>
    <row r="32" spans="1:28" x14ac:dyDescent="0.25">
      <c r="A32" s="88">
        <v>71</v>
      </c>
      <c r="B32" s="66" t="s">
        <v>21</v>
      </c>
      <c r="C32" s="56">
        <v>658425</v>
      </c>
      <c r="D32" s="56">
        <f>'GF Exp by Func &amp; Mj Obj '!D144</f>
        <v>0</v>
      </c>
      <c r="E32" s="48">
        <f>658425.2</f>
        <v>658425.19999999995</v>
      </c>
      <c r="F32" s="56">
        <f>'2.5% Pay Increase'!E139</f>
        <v>0</v>
      </c>
      <c r="G32" s="48">
        <f t="shared" si="2"/>
        <v>0</v>
      </c>
      <c r="H32" s="5"/>
      <c r="I32" s="1"/>
      <c r="S32" s="42"/>
      <c r="T32" s="297"/>
      <c r="U32" s="42"/>
      <c r="V32" s="42"/>
      <c r="W32" s="42"/>
      <c r="X32" s="42"/>
      <c r="Y32" s="42"/>
      <c r="Z32" s="42"/>
      <c r="AA32" s="42"/>
      <c r="AB32" s="31"/>
    </row>
    <row r="33" spans="1:28" x14ac:dyDescent="0.25">
      <c r="A33" s="88">
        <v>81</v>
      </c>
      <c r="B33" s="66" t="s">
        <v>22</v>
      </c>
      <c r="C33" s="56">
        <v>72092</v>
      </c>
      <c r="D33" s="56">
        <f>'GF Exp by Func &amp; Mj Obj '!D37</f>
        <v>0</v>
      </c>
      <c r="E33" s="48">
        <v>42834</v>
      </c>
      <c r="F33" s="56">
        <v>0</v>
      </c>
      <c r="G33" s="48">
        <f t="shared" si="2"/>
        <v>0</v>
      </c>
      <c r="H33" s="5"/>
      <c r="I33" s="1" t="s">
        <v>165</v>
      </c>
      <c r="S33" s="42"/>
      <c r="T33" s="297"/>
      <c r="U33" s="42"/>
      <c r="V33" s="42"/>
      <c r="W33" s="42"/>
      <c r="X33" s="42"/>
      <c r="Y33" s="42"/>
      <c r="Z33" s="42"/>
      <c r="AA33" s="42"/>
      <c r="AB33" s="31"/>
    </row>
    <row r="34" spans="1:28" x14ac:dyDescent="0.25">
      <c r="A34" s="88">
        <v>91</v>
      </c>
      <c r="B34" s="66" t="s">
        <v>176</v>
      </c>
      <c r="C34" s="56">
        <v>0</v>
      </c>
      <c r="D34" s="56">
        <f>'GF Exp by Func &amp; Mj Obj '!D148</f>
        <v>32444332</v>
      </c>
      <c r="E34" s="48"/>
      <c r="F34" s="56">
        <f>'2.5% Pay Increase'!E142</f>
        <v>20936535</v>
      </c>
      <c r="G34" s="48">
        <f t="shared" si="2"/>
        <v>-11507797</v>
      </c>
      <c r="H34" s="5"/>
      <c r="I34" s="1"/>
      <c r="S34" s="42"/>
      <c r="T34" s="297"/>
      <c r="U34" s="42"/>
      <c r="V34" s="42"/>
      <c r="W34" s="42"/>
      <c r="X34" s="42"/>
      <c r="Y34" s="42"/>
      <c r="Z34" s="42"/>
      <c r="AA34" s="42"/>
      <c r="AB34" s="31"/>
    </row>
    <row r="35" spans="1:28" x14ac:dyDescent="0.25">
      <c r="A35" s="88">
        <v>93</v>
      </c>
      <c r="B35" s="66" t="s">
        <v>23</v>
      </c>
      <c r="C35" s="56">
        <v>82000</v>
      </c>
      <c r="D35" s="56">
        <f>'GF Exp by Func &amp; Mj Obj '!D157</f>
        <v>210000</v>
      </c>
      <c r="E35" s="48">
        <v>210000</v>
      </c>
      <c r="F35" s="56">
        <f>'2.5% Pay Increase'!E151</f>
        <v>210000</v>
      </c>
      <c r="G35" s="48">
        <f t="shared" si="2"/>
        <v>0</v>
      </c>
      <c r="H35" s="5"/>
      <c r="I35" s="1"/>
      <c r="S35" s="42"/>
      <c r="T35" s="297"/>
      <c r="U35" s="42"/>
      <c r="V35" s="42"/>
      <c r="W35" s="42"/>
      <c r="X35" s="42"/>
      <c r="Y35" s="42"/>
      <c r="Z35" s="42"/>
      <c r="AA35" s="42"/>
      <c r="AB35" s="31"/>
    </row>
    <row r="36" spans="1:28" x14ac:dyDescent="0.25">
      <c r="A36" s="88">
        <v>95</v>
      </c>
      <c r="B36" s="66" t="s">
        <v>190</v>
      </c>
      <c r="C36" s="56">
        <v>34176</v>
      </c>
      <c r="D36" s="56">
        <f>'GF Exp by Func &amp; Mj Obj '!D161</f>
        <v>200000</v>
      </c>
      <c r="E36" s="48">
        <v>200000</v>
      </c>
      <c r="F36" s="56">
        <f>'2.5% Pay Increase'!E156</f>
        <v>200000</v>
      </c>
      <c r="G36" s="48">
        <f t="shared" si="2"/>
        <v>0</v>
      </c>
      <c r="H36" s="5"/>
      <c r="I36" s="1"/>
      <c r="S36" s="42"/>
      <c r="T36" s="297"/>
      <c r="U36" s="42"/>
      <c r="V36" s="42"/>
      <c r="W36" s="42"/>
      <c r="X36" s="42"/>
      <c r="Y36" s="42"/>
      <c r="Z36" s="42"/>
      <c r="AA36" s="42"/>
      <c r="AB36" s="31"/>
    </row>
    <row r="37" spans="1:28" x14ac:dyDescent="0.25">
      <c r="A37" s="88">
        <v>99</v>
      </c>
      <c r="B37" s="66" t="s">
        <v>24</v>
      </c>
      <c r="C37" s="56">
        <v>2939064</v>
      </c>
      <c r="D37" s="56">
        <f>'GF Exp by Func &amp; Mj Obj '!D165</f>
        <v>3850000</v>
      </c>
      <c r="E37" s="48">
        <v>2853235</v>
      </c>
      <c r="F37" s="56">
        <f>'2.5% Pay Increase'!E160</f>
        <v>3662088</v>
      </c>
      <c r="G37" s="48">
        <f t="shared" si="2"/>
        <v>-187912</v>
      </c>
      <c r="H37" s="5"/>
      <c r="I37" s="1" t="s">
        <v>166</v>
      </c>
      <c r="S37" s="42"/>
      <c r="T37" s="297"/>
      <c r="U37" s="42"/>
      <c r="V37" s="42"/>
      <c r="W37" s="42"/>
      <c r="X37" s="42"/>
      <c r="Y37" s="42"/>
      <c r="Z37" s="42"/>
      <c r="AA37" s="42"/>
      <c r="AB37" s="31"/>
    </row>
    <row r="38" spans="1:28" ht="15.75" thickBot="1" x14ac:dyDescent="0.3">
      <c r="A38" s="88"/>
      <c r="B38" s="2" t="s">
        <v>25</v>
      </c>
      <c r="C38" s="61">
        <f t="shared" ref="C38:D38" si="3">SUM(C16:C37)</f>
        <v>473472962</v>
      </c>
      <c r="D38" s="61">
        <f t="shared" si="3"/>
        <v>543060739.00000012</v>
      </c>
      <c r="E38" s="61">
        <f>SUM(E16:E37)</f>
        <v>404688672.62</v>
      </c>
      <c r="F38" s="292">
        <f>SUM(F16:F37)</f>
        <v>505161833</v>
      </c>
      <c r="G38" s="61">
        <f>SUM(G16:G37)</f>
        <v>-37898906.000000119</v>
      </c>
      <c r="H38" s="5"/>
      <c r="I38" s="1"/>
      <c r="S38" s="295">
        <f>SUM(S16:S37)</f>
        <v>1862978</v>
      </c>
      <c r="T38" s="297"/>
      <c r="U38" s="295">
        <f>SUM(U16:U37)</f>
        <v>3451695</v>
      </c>
      <c r="V38" s="297"/>
      <c r="W38" s="295">
        <f>SUM(W16:W37)</f>
        <v>6651940</v>
      </c>
      <c r="X38" s="42"/>
      <c r="Y38" s="300">
        <f>SUM(Y16:Y37)</f>
        <v>8264009</v>
      </c>
      <c r="Z38" s="42"/>
      <c r="AA38" s="295">
        <f>SUM(AA16:AA37)</f>
        <v>9883958</v>
      </c>
      <c r="AB38" s="31"/>
    </row>
    <row r="39" spans="1:28" ht="15.75" thickTop="1" x14ac:dyDescent="0.25">
      <c r="A39" s="88"/>
      <c r="B39" s="75"/>
      <c r="C39" s="89"/>
      <c r="D39" s="74"/>
      <c r="E39" s="65"/>
      <c r="F39" s="65"/>
      <c r="G39" s="65"/>
      <c r="H39" s="5"/>
      <c r="I39" s="1"/>
      <c r="Q39" s="49" t="s">
        <v>215</v>
      </c>
      <c r="S39" s="388">
        <f>3451695-1862978</f>
        <v>1588717</v>
      </c>
      <c r="T39" s="388"/>
      <c r="U39" s="388"/>
      <c r="W39" s="42">
        <f>6651940-3451695</f>
        <v>3200245</v>
      </c>
      <c r="X39" s="42"/>
      <c r="Y39" s="42">
        <f>8264009-6651940</f>
        <v>1612069</v>
      </c>
      <c r="Z39" s="42"/>
      <c r="AA39" s="42">
        <f>9883958-8264009</f>
        <v>1619949</v>
      </c>
      <c r="AB39" s="31"/>
    </row>
    <row r="40" spans="1:28" x14ac:dyDescent="0.25">
      <c r="A40" s="88"/>
      <c r="B40" s="75"/>
      <c r="C40" s="89"/>
      <c r="D40" s="74"/>
      <c r="E40" s="65"/>
      <c r="F40" s="65"/>
      <c r="G40" s="65"/>
      <c r="H40" s="5"/>
      <c r="I40" s="1"/>
      <c r="T40" s="36"/>
    </row>
    <row r="41" spans="1:28" x14ac:dyDescent="0.25">
      <c r="A41" s="88"/>
      <c r="B41" s="2" t="s">
        <v>172</v>
      </c>
      <c r="C41" s="89"/>
      <c r="D41" s="74"/>
      <c r="E41" s="65"/>
      <c r="F41" s="65"/>
      <c r="G41" s="65"/>
      <c r="H41" s="5"/>
      <c r="I41" s="1"/>
    </row>
    <row r="42" spans="1:28" x14ac:dyDescent="0.25">
      <c r="A42" s="88"/>
      <c r="B42" s="2" t="s">
        <v>173</v>
      </c>
      <c r="C42" s="79">
        <f t="shared" ref="C42:D42" si="4">+C13-C38</f>
        <v>27430588.970000029</v>
      </c>
      <c r="D42" s="79">
        <f t="shared" si="4"/>
        <v>-12384168.000000119</v>
      </c>
      <c r="E42" s="79" t="e">
        <f>+E13-E38</f>
        <v>#REF!</v>
      </c>
      <c r="F42" s="79">
        <f>+F13-F38</f>
        <v>47332826</v>
      </c>
      <c r="G42" s="79">
        <f>+G13-G38</f>
        <v>59716994.000000119</v>
      </c>
      <c r="H42" s="5"/>
      <c r="I42" s="1"/>
    </row>
    <row r="43" spans="1:28" x14ac:dyDescent="0.25">
      <c r="A43" s="88"/>
      <c r="B43" s="2"/>
      <c r="C43" s="65"/>
      <c r="D43" s="74"/>
      <c r="E43" s="65"/>
      <c r="F43" s="75"/>
      <c r="G43" s="65"/>
      <c r="H43" s="5"/>
      <c r="I43" s="1"/>
    </row>
    <row r="44" spans="1:28" x14ac:dyDescent="0.25">
      <c r="A44" s="88"/>
      <c r="B44" s="2" t="s">
        <v>185</v>
      </c>
      <c r="C44" s="65"/>
      <c r="D44" s="74"/>
      <c r="E44" s="65"/>
      <c r="F44" s="75"/>
      <c r="G44" s="65"/>
      <c r="H44" s="5"/>
      <c r="I44" s="1"/>
    </row>
    <row r="45" spans="1:28" x14ac:dyDescent="0.25">
      <c r="A45" s="88"/>
      <c r="B45" s="75" t="s">
        <v>29</v>
      </c>
      <c r="C45" s="56">
        <f>SUM('GF Rev by Obj'!D45:D47)</f>
        <v>22494953</v>
      </c>
      <c r="D45" s="268">
        <f>+'GF Rev by Obj'!E49</f>
        <v>0</v>
      </c>
      <c r="E45" s="268" t="e">
        <f>+'GF Rev by Obj'!#REF!</f>
        <v>#REF!</v>
      </c>
      <c r="F45" s="268">
        <f>+'GF Rev by Obj'!F49</f>
        <v>0</v>
      </c>
      <c r="G45" s="48">
        <f>+F45-D45</f>
        <v>0</v>
      </c>
      <c r="H45" s="5"/>
      <c r="I45" s="1"/>
    </row>
    <row r="46" spans="1:28" x14ac:dyDescent="0.25">
      <c r="A46" s="88"/>
      <c r="B46" s="75" t="s">
        <v>30</v>
      </c>
      <c r="C46" s="56">
        <v>-500000</v>
      </c>
      <c r="D46" s="268">
        <v>0</v>
      </c>
      <c r="E46" s="268">
        <v>1700000</v>
      </c>
      <c r="F46" s="268">
        <v>0</v>
      </c>
      <c r="G46" s="48">
        <f>+F46-D46</f>
        <v>0</v>
      </c>
      <c r="H46" s="5"/>
      <c r="I46" s="1"/>
    </row>
    <row r="47" spans="1:28" x14ac:dyDescent="0.25">
      <c r="A47" s="88"/>
      <c r="B47" s="16" t="s">
        <v>31</v>
      </c>
      <c r="C47" s="266">
        <f>SUM(C45:C46)</f>
        <v>21994953</v>
      </c>
      <c r="D47" s="266">
        <f>SUM(D45:D46)</f>
        <v>0</v>
      </c>
      <c r="E47" s="266" t="e">
        <f>+E45-E46</f>
        <v>#REF!</v>
      </c>
      <c r="F47" s="266">
        <f>SUM(F45:F46)</f>
        <v>0</v>
      </c>
      <c r="G47" s="266">
        <f>SUM(G45:G46)</f>
        <v>0</v>
      </c>
      <c r="H47" s="5"/>
      <c r="I47" s="1"/>
    </row>
    <row r="48" spans="1:28" x14ac:dyDescent="0.25">
      <c r="A48" s="88"/>
      <c r="B48" s="75"/>
      <c r="C48" s="89"/>
      <c r="D48" s="74"/>
      <c r="E48" s="65"/>
      <c r="F48" s="65"/>
      <c r="G48" s="65"/>
      <c r="H48" s="5"/>
    </row>
    <row r="49" spans="1:8" ht="15.75" thickBot="1" x14ac:dyDescent="0.3">
      <c r="A49" s="88"/>
      <c r="B49" s="2" t="s">
        <v>156</v>
      </c>
      <c r="C49" s="104">
        <f>+C42+C47</f>
        <v>49425541.970000029</v>
      </c>
      <c r="D49" s="104">
        <f>+D42+D47</f>
        <v>-12384168.000000119</v>
      </c>
      <c r="E49" s="104">
        <v>4000000</v>
      </c>
      <c r="F49" s="104">
        <f>+F42+F47</f>
        <v>47332826</v>
      </c>
      <c r="G49" s="104">
        <f>+G42+G47</f>
        <v>59716994.000000119</v>
      </c>
      <c r="H49" s="5"/>
    </row>
    <row r="50" spans="1:8" ht="15.75" thickTop="1" x14ac:dyDescent="0.25">
      <c r="A50" s="88"/>
      <c r="B50" s="75"/>
      <c r="C50" s="89"/>
      <c r="D50" s="58"/>
      <c r="E50" s="58"/>
      <c r="F50" s="275"/>
      <c r="G50" s="58"/>
      <c r="H50" s="5"/>
    </row>
    <row r="51" spans="1:8" hidden="1" x14ac:dyDescent="0.25">
      <c r="A51" s="88"/>
      <c r="B51" s="39" t="s">
        <v>34</v>
      </c>
      <c r="C51" s="56">
        <v>158671093</v>
      </c>
      <c r="D51" s="82">
        <f>C52</f>
        <v>208096634.97000003</v>
      </c>
      <c r="E51" s="58">
        <f>C52</f>
        <v>208096634.97000003</v>
      </c>
      <c r="F51" s="276">
        <f>+E52</f>
        <v>212096634.97000003</v>
      </c>
      <c r="G51" s="83"/>
      <c r="H51" s="5"/>
    </row>
    <row r="52" spans="1:8" ht="15.75" hidden="1" thickBot="1" x14ac:dyDescent="0.3">
      <c r="A52" s="88"/>
      <c r="B52" s="2" t="s">
        <v>35</v>
      </c>
      <c r="C52" s="86">
        <f t="shared" ref="C52:D52" si="5">SUM(C49:C51)</f>
        <v>208096634.97000003</v>
      </c>
      <c r="D52" s="86">
        <f t="shared" si="5"/>
        <v>195712466.96999991</v>
      </c>
      <c r="E52" s="86">
        <f>SUM(E49:E51)</f>
        <v>212096634.97000003</v>
      </c>
      <c r="F52" s="277">
        <f>SUM(F49:F51)</f>
        <v>259429460.97000003</v>
      </c>
      <c r="G52" s="90"/>
      <c r="H52" s="5"/>
    </row>
    <row r="53" spans="1:8" hidden="1" x14ac:dyDescent="0.25">
      <c r="A53" s="88"/>
      <c r="B53" s="75"/>
      <c r="C53" s="65"/>
      <c r="D53" s="74"/>
      <c r="E53" s="65"/>
      <c r="F53" s="275"/>
      <c r="G53" s="73"/>
      <c r="H53" s="5"/>
    </row>
    <row r="54" spans="1:8" x14ac:dyDescent="0.25">
      <c r="A54" s="279"/>
      <c r="B54" s="280"/>
      <c r="C54" s="281"/>
      <c r="D54" s="281"/>
      <c r="E54" s="281"/>
      <c r="F54" s="282"/>
      <c r="G54" s="73"/>
    </row>
    <row r="55" spans="1:8" x14ac:dyDescent="0.25">
      <c r="A55" s="279"/>
      <c r="B55" s="279"/>
      <c r="C55" s="281"/>
      <c r="D55" s="281"/>
      <c r="E55" s="281"/>
      <c r="F55" s="282"/>
      <c r="G55" s="65"/>
    </row>
    <row r="56" spans="1:8" x14ac:dyDescent="0.25">
      <c r="A56" s="279"/>
      <c r="B56" s="279"/>
      <c r="C56" s="281"/>
      <c r="D56" s="281"/>
      <c r="E56" s="281"/>
      <c r="F56" s="282"/>
      <c r="G56" s="65"/>
    </row>
    <row r="57" spans="1:8" x14ac:dyDescent="0.25">
      <c r="A57" s="279"/>
      <c r="B57" s="279"/>
      <c r="C57" s="281"/>
      <c r="D57" s="281"/>
      <c r="E57" s="281"/>
      <c r="F57" s="282"/>
      <c r="G57" s="65"/>
    </row>
    <row r="58" spans="1:8" x14ac:dyDescent="0.25">
      <c r="A58" s="279"/>
      <c r="B58" s="280"/>
      <c r="C58" s="281"/>
      <c r="D58" s="281"/>
      <c r="E58" s="281"/>
      <c r="F58" s="283"/>
      <c r="G58" s="65"/>
    </row>
    <row r="59" spans="1:8" x14ac:dyDescent="0.25">
      <c r="A59" s="279"/>
      <c r="B59" s="279"/>
      <c r="C59" s="281"/>
      <c r="D59" s="281"/>
      <c r="E59" s="281"/>
      <c r="F59" s="281"/>
      <c r="G59" s="65"/>
    </row>
    <row r="60" spans="1:8" x14ac:dyDescent="0.25">
      <c r="A60" s="279"/>
      <c r="B60" s="279"/>
      <c r="C60" s="281"/>
      <c r="D60" s="281"/>
      <c r="E60" s="281"/>
      <c r="F60" s="281"/>
      <c r="G60" s="88"/>
    </row>
    <row r="61" spans="1:8" x14ac:dyDescent="0.25">
      <c r="A61" s="88"/>
      <c r="B61" s="88"/>
      <c r="C61" s="89"/>
      <c r="D61" s="89"/>
      <c r="E61" s="89"/>
      <c r="F61" s="89"/>
      <c r="G61" s="88"/>
    </row>
    <row r="62" spans="1:8" x14ac:dyDescent="0.25">
      <c r="A62" s="88"/>
      <c r="B62" s="88"/>
      <c r="C62" s="89"/>
      <c r="D62" s="89"/>
      <c r="E62" s="89"/>
      <c r="F62" s="89"/>
      <c r="G62" s="88"/>
    </row>
    <row r="63" spans="1:8" x14ac:dyDescent="0.25">
      <c r="A63" s="88"/>
      <c r="B63" s="88"/>
      <c r="C63" s="89"/>
      <c r="D63" s="89"/>
      <c r="E63" s="89"/>
      <c r="F63" s="92"/>
      <c r="G63" s="88"/>
    </row>
    <row r="64" spans="1:8" x14ac:dyDescent="0.25">
      <c r="A64" s="88"/>
      <c r="B64" s="88"/>
      <c r="C64" s="89"/>
      <c r="D64" s="89"/>
      <c r="E64" s="89"/>
      <c r="F64" s="89"/>
      <c r="G64" s="88"/>
    </row>
    <row r="65" spans="1:7" x14ac:dyDescent="0.25">
      <c r="A65" s="88"/>
      <c r="B65" s="88"/>
      <c r="C65" s="89"/>
      <c r="D65" s="89"/>
      <c r="E65" s="89"/>
      <c r="F65" s="89"/>
      <c r="G65" s="88"/>
    </row>
    <row r="66" spans="1:7" x14ac:dyDescent="0.25">
      <c r="A66" s="88"/>
      <c r="B66" s="88"/>
      <c r="C66" s="89"/>
      <c r="D66" s="89"/>
      <c r="E66" s="89"/>
      <c r="F66" s="89"/>
      <c r="G66" s="88"/>
    </row>
  </sheetData>
  <mergeCells count="3">
    <mergeCell ref="B1:G1"/>
    <mergeCell ref="B2:G2"/>
    <mergeCell ref="S39:U39"/>
  </mergeCell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5CCF-8628-4C53-80FB-B27F87AB08FE}">
  <sheetPr>
    <tabColor rgb="FF33CC33"/>
  </sheetPr>
  <dimension ref="A1:AA66"/>
  <sheetViews>
    <sheetView topLeftCell="A4" zoomScaleNormal="100" workbookViewId="0">
      <selection activeCell="J17" sqref="J17"/>
    </sheetView>
  </sheetViews>
  <sheetFormatPr defaultRowHeight="15" x14ac:dyDescent="0.25"/>
  <cols>
    <col min="1" max="1" width="5.5703125" style="49" customWidth="1"/>
    <col min="2" max="2" width="40.42578125" style="49" customWidth="1"/>
    <col min="3" max="3" width="15.5703125" style="29" customWidth="1"/>
    <col min="4" max="4" width="16.85546875" style="29" customWidth="1"/>
    <col min="5" max="5" width="16.140625" style="29" hidden="1" customWidth="1"/>
    <col min="6" max="6" width="16.7109375" style="29" bestFit="1" customWidth="1"/>
    <col min="7" max="7" width="18.140625" style="49" customWidth="1"/>
    <col min="11" max="15" width="0" hidden="1" customWidth="1"/>
    <col min="17" max="17" width="27.42578125" bestFit="1" customWidth="1"/>
    <col min="18" max="18" width="0.85546875" customWidth="1"/>
    <col min="20" max="20" width="1.140625" customWidth="1"/>
    <col min="22" max="22" width="1" customWidth="1"/>
    <col min="24" max="24" width="0.42578125" customWidth="1"/>
    <col min="26" max="26" width="1.140625" customWidth="1"/>
  </cols>
  <sheetData>
    <row r="1" spans="1:27" x14ac:dyDescent="0.25">
      <c r="A1" s="88"/>
      <c r="B1" s="386" t="s">
        <v>0</v>
      </c>
      <c r="C1" s="386"/>
      <c r="D1" s="386"/>
      <c r="E1" s="386"/>
      <c r="F1" s="386"/>
      <c r="G1" s="386"/>
    </row>
    <row r="2" spans="1:27" x14ac:dyDescent="0.25">
      <c r="A2" s="88"/>
      <c r="B2" s="386" t="s">
        <v>149</v>
      </c>
      <c r="C2" s="386"/>
      <c r="D2" s="386"/>
      <c r="E2" s="386"/>
      <c r="F2" s="386"/>
      <c r="G2" s="386"/>
    </row>
    <row r="3" spans="1:27" x14ac:dyDescent="0.25">
      <c r="A3" s="88"/>
      <c r="B3" s="18"/>
      <c r="C3" s="18"/>
      <c r="D3" s="18"/>
      <c r="E3" s="286"/>
      <c r="F3" s="72"/>
      <c r="G3" s="34" t="s">
        <v>169</v>
      </c>
    </row>
    <row r="4" spans="1:27" x14ac:dyDescent="0.25">
      <c r="A4" s="88"/>
      <c r="B4" s="8"/>
      <c r="C4" s="60"/>
      <c r="D4" s="60"/>
      <c r="E4" s="60"/>
      <c r="F4" s="60"/>
      <c r="G4" s="44" t="s">
        <v>210</v>
      </c>
    </row>
    <row r="5" spans="1:27" x14ac:dyDescent="0.25">
      <c r="A5" s="88"/>
      <c r="B5" s="9"/>
      <c r="C5" s="44" t="s">
        <v>1</v>
      </c>
      <c r="D5" s="44"/>
      <c r="E5" s="44"/>
      <c r="F5" s="44"/>
      <c r="G5" s="44" t="s">
        <v>170</v>
      </c>
    </row>
    <row r="6" spans="1:27" x14ac:dyDescent="0.25">
      <c r="A6" s="88"/>
      <c r="B6" s="9"/>
      <c r="C6" s="91" t="s">
        <v>45</v>
      </c>
      <c r="D6" s="139" t="s">
        <v>152</v>
      </c>
      <c r="E6" s="44" t="s">
        <v>155</v>
      </c>
      <c r="F6" s="3" t="s">
        <v>208</v>
      </c>
      <c r="G6" s="44" t="s">
        <v>211</v>
      </c>
    </row>
    <row r="7" spans="1:27" x14ac:dyDescent="0.25">
      <c r="A7" s="88"/>
      <c r="B7" s="75"/>
      <c r="C7" s="46" t="s">
        <v>168</v>
      </c>
      <c r="D7" s="54" t="s">
        <v>171</v>
      </c>
      <c r="E7" s="46" t="s">
        <v>167</v>
      </c>
      <c r="F7" s="53" t="s">
        <v>209</v>
      </c>
      <c r="G7" s="46" t="s">
        <v>208</v>
      </c>
    </row>
    <row r="8" spans="1:27" x14ac:dyDescent="0.25">
      <c r="A8" s="88"/>
      <c r="B8" s="2" t="s">
        <v>3</v>
      </c>
      <c r="C8" s="65"/>
      <c r="D8" s="74"/>
      <c r="E8" s="65"/>
      <c r="F8" s="75"/>
      <c r="G8" s="65"/>
    </row>
    <row r="9" spans="1:27" x14ac:dyDescent="0.25">
      <c r="A9" s="88"/>
      <c r="B9" s="39" t="s">
        <v>36</v>
      </c>
      <c r="C9" s="59">
        <f>SUM('GF Rev by Obj'!D8:D10)</f>
        <v>411640277.85000002</v>
      </c>
      <c r="D9" s="41">
        <f>ROUND(SUM('GF Rev by Obj'!E8:E10),0)</f>
        <v>438366366</v>
      </c>
      <c r="E9" s="41" t="e">
        <f>+'GF Rev by Obj'!#REF!+'GF Rev by Obj'!#REF!+'GF Rev by Obj'!#REF!</f>
        <v>#REF!</v>
      </c>
      <c r="F9" s="41">
        <f>ROUND(SUM('GF Rev by Obj'!F8:F10),0)</f>
        <v>475440918</v>
      </c>
      <c r="G9" s="41">
        <f>+F9-D9</f>
        <v>37074552</v>
      </c>
    </row>
    <row r="10" spans="1:27" x14ac:dyDescent="0.25">
      <c r="A10" s="88"/>
      <c r="B10" s="39" t="s">
        <v>37</v>
      </c>
      <c r="C10" s="56">
        <f>SUM('GF Rev by Obj'!D11:D23)</f>
        <v>13457487.73</v>
      </c>
      <c r="D10" s="48">
        <f>ROUND(SUM('GF Rev by Obj'!E11:E23),0)</f>
        <v>15918603</v>
      </c>
      <c r="E10" s="48" t="e">
        <f>+'GF Rev by Obj'!#REF!-'GF by funct '!#REF!</f>
        <v>#REF!</v>
      </c>
      <c r="F10" s="48">
        <f>ROUND(SUM('GF Rev by Obj'!F11:F23),0)</f>
        <v>15258305</v>
      </c>
      <c r="G10" s="48">
        <f>+F10-D10</f>
        <v>-660298</v>
      </c>
    </row>
    <row r="11" spans="1:27" x14ac:dyDescent="0.25">
      <c r="A11" s="88"/>
      <c r="B11" s="39" t="s">
        <v>38</v>
      </c>
      <c r="C11" s="56">
        <f>'GF Rev by Obj'!D33</f>
        <v>66818828.159999996</v>
      </c>
      <c r="D11" s="58">
        <f>ROUND(SUM('GF Rev by Obj'!E27:E32),0)</f>
        <v>66397489</v>
      </c>
      <c r="E11" s="76" t="e">
        <f>+'GF Rev by Obj'!#REF!</f>
        <v>#REF!</v>
      </c>
      <c r="F11" s="76">
        <f>ROUND(SUM('GF Rev by Obj'!F27:F32),0)</f>
        <v>52355584</v>
      </c>
      <c r="G11" s="48">
        <f t="shared" ref="G11:G12" si="0">+F11-D11</f>
        <v>-14041905</v>
      </c>
    </row>
    <row r="12" spans="1:27" x14ac:dyDescent="0.25">
      <c r="A12" s="88"/>
      <c r="B12" s="39" t="s">
        <v>42</v>
      </c>
      <c r="C12" s="56">
        <f>'GF Rev by Obj'!D42</f>
        <v>8986957.2300000004</v>
      </c>
      <c r="D12" s="58">
        <f>SUM('GF Rev by Obj'!E36:E41)</f>
        <v>9994113</v>
      </c>
      <c r="E12" s="58" t="e">
        <f>+'GF Rev by Obj'!#REF!</f>
        <v>#REF!</v>
      </c>
      <c r="F12" s="58">
        <f>ROUND(SUM('GF Rev by Obj'!F36:F41),0)</f>
        <v>9439852</v>
      </c>
      <c r="G12" s="48">
        <f t="shared" si="0"/>
        <v>-554261</v>
      </c>
    </row>
    <row r="13" spans="1:27" x14ac:dyDescent="0.25">
      <c r="A13" s="88"/>
      <c r="B13" s="35" t="s">
        <v>188</v>
      </c>
      <c r="C13" s="77">
        <f t="shared" ref="C13:D13" si="1">SUM(C9:C12)</f>
        <v>500903550.97000003</v>
      </c>
      <c r="D13" s="77">
        <f t="shared" si="1"/>
        <v>530676571</v>
      </c>
      <c r="E13" s="77" t="e">
        <f>SUM(E9:E12)</f>
        <v>#REF!</v>
      </c>
      <c r="F13" s="77">
        <f>SUM(F9:F12)</f>
        <v>552494659</v>
      </c>
      <c r="G13" s="278">
        <f>SUM(G9:G12)</f>
        <v>21818088</v>
      </c>
    </row>
    <row r="14" spans="1:27" x14ac:dyDescent="0.25">
      <c r="A14" s="88"/>
      <c r="B14" s="75"/>
      <c r="C14" s="89"/>
      <c r="D14" s="74"/>
      <c r="E14" s="65"/>
      <c r="F14" s="65"/>
      <c r="G14" s="65"/>
    </row>
    <row r="15" spans="1:27" x14ac:dyDescent="0.25">
      <c r="A15" s="88"/>
      <c r="B15" s="2" t="s">
        <v>4</v>
      </c>
      <c r="C15" s="89"/>
      <c r="D15" s="74"/>
      <c r="E15" s="65"/>
      <c r="F15" s="65"/>
      <c r="G15" s="65"/>
      <c r="Q15" s="49"/>
      <c r="R15" s="49"/>
      <c r="S15" s="293">
        <v>5.0000000000000001E-3</v>
      </c>
      <c r="T15" s="296"/>
      <c r="U15" s="294">
        <v>0.01</v>
      </c>
      <c r="V15" s="294"/>
      <c r="W15" s="294">
        <v>0.02</v>
      </c>
      <c r="X15" s="294"/>
      <c r="Y15" s="303">
        <v>2.5000000000000001E-2</v>
      </c>
      <c r="Z15" s="293"/>
      <c r="AA15" s="307">
        <v>0.03</v>
      </c>
    </row>
    <row r="16" spans="1:27" x14ac:dyDescent="0.25">
      <c r="A16" s="88">
        <v>11</v>
      </c>
      <c r="B16" s="66" t="s">
        <v>5</v>
      </c>
      <c r="C16" s="56">
        <v>295395689</v>
      </c>
      <c r="D16" s="56">
        <f>'GF Exp by Func &amp; Mj Obj '!D14</f>
        <v>311727753.00000012</v>
      </c>
      <c r="E16" s="48">
        <f>250400383.36+1130569.45+209709.09</f>
        <v>251740661.90000001</v>
      </c>
      <c r="F16" s="56" t="e">
        <f>#REF!</f>
        <v>#REF!</v>
      </c>
      <c r="G16" s="48" t="e">
        <f>+F16-D16</f>
        <v>#REF!</v>
      </c>
      <c r="Q16" s="49"/>
      <c r="R16" s="49"/>
      <c r="S16" s="42">
        <v>1132601</v>
      </c>
      <c r="T16" s="297"/>
      <c r="U16" s="42">
        <v>2270851</v>
      </c>
      <c r="V16" s="42"/>
      <c r="W16" s="42">
        <v>4564297</v>
      </c>
      <c r="X16" s="42"/>
      <c r="Y16" s="42">
        <v>5719493</v>
      </c>
      <c r="Z16" s="42"/>
      <c r="AA16" s="42">
        <v>6880338</v>
      </c>
    </row>
    <row r="17" spans="1:27" x14ac:dyDescent="0.25">
      <c r="A17" s="88">
        <v>12</v>
      </c>
      <c r="B17" s="66" t="s">
        <v>6</v>
      </c>
      <c r="C17" s="56">
        <v>6704398</v>
      </c>
      <c r="D17" s="56">
        <f>'GF Exp by Func &amp; Mj Obj '!D21</f>
        <v>6633367</v>
      </c>
      <c r="E17" s="48">
        <f>5814724.33+25963.26</f>
        <v>5840687.5899999999</v>
      </c>
      <c r="F17" s="56" t="e">
        <f>#REF!</f>
        <v>#REF!</v>
      </c>
      <c r="G17" s="48" t="e">
        <f t="shared" ref="G17:G37" si="2">+F17-D17</f>
        <v>#REF!</v>
      </c>
      <c r="Q17" s="49"/>
      <c r="R17" s="49"/>
      <c r="S17" s="42">
        <v>22846</v>
      </c>
      <c r="T17" s="297"/>
      <c r="U17" s="42">
        <v>45806</v>
      </c>
      <c r="V17" s="42"/>
      <c r="W17" s="42">
        <v>92067</v>
      </c>
      <c r="X17" s="42"/>
      <c r="Y17" s="42">
        <v>115368</v>
      </c>
      <c r="Z17" s="42"/>
      <c r="AA17" s="42">
        <v>138784</v>
      </c>
    </row>
    <row r="18" spans="1:27" x14ac:dyDescent="0.25">
      <c r="A18" s="88">
        <v>13</v>
      </c>
      <c r="B18" s="66" t="s">
        <v>7</v>
      </c>
      <c r="C18" s="56">
        <v>2314061</v>
      </c>
      <c r="D18" s="56">
        <f>'GF Exp by Func &amp; Mj Obj '!D28</f>
        <v>3478499</v>
      </c>
      <c r="E18" s="48">
        <f>1794486.14+44257.66+5953.05</f>
        <v>1844696.8499999999</v>
      </c>
      <c r="F18" s="56" t="e">
        <f>#REF!</f>
        <v>#REF!</v>
      </c>
      <c r="G18" s="48" t="e">
        <f t="shared" si="2"/>
        <v>#REF!</v>
      </c>
      <c r="Q18" s="49"/>
      <c r="R18" s="49"/>
      <c r="S18" s="42">
        <v>3491</v>
      </c>
      <c r="T18" s="297"/>
      <c r="U18" s="42">
        <v>7000</v>
      </c>
      <c r="V18" s="42"/>
      <c r="W18" s="42">
        <v>14070</v>
      </c>
      <c r="X18" s="42"/>
      <c r="Y18" s="42">
        <v>17631</v>
      </c>
      <c r="Z18" s="42"/>
      <c r="AA18" s="42">
        <v>21210</v>
      </c>
    </row>
    <row r="19" spans="1:27" x14ac:dyDescent="0.25">
      <c r="A19" s="88">
        <v>21</v>
      </c>
      <c r="B19" s="66" t="s">
        <v>8</v>
      </c>
      <c r="C19" s="56">
        <v>10129682</v>
      </c>
      <c r="D19" s="56">
        <f>'GF Exp by Func &amp; Mj Obj '!D35</f>
        <v>11877813</v>
      </c>
      <c r="E19" s="48">
        <f>8345619.99+25239.09+9358.83</f>
        <v>8380217.9100000001</v>
      </c>
      <c r="F19" s="56" t="e">
        <f>#REF!</f>
        <v>#REF!</v>
      </c>
      <c r="G19" s="48" t="e">
        <f t="shared" si="2"/>
        <v>#REF!</v>
      </c>
      <c r="Q19" s="49"/>
      <c r="R19" s="49"/>
      <c r="S19" s="42">
        <v>44324</v>
      </c>
      <c r="T19" s="297"/>
      <c r="U19" s="42">
        <v>88868</v>
      </c>
      <c r="V19" s="42"/>
      <c r="W19" s="42">
        <v>178621</v>
      </c>
      <c r="X19" s="42"/>
      <c r="Y19" s="42">
        <v>223829</v>
      </c>
      <c r="Z19" s="42"/>
      <c r="AA19" s="42">
        <v>269258</v>
      </c>
    </row>
    <row r="20" spans="1:27" x14ac:dyDescent="0.25">
      <c r="A20" s="88">
        <v>23</v>
      </c>
      <c r="B20" s="66" t="s">
        <v>9</v>
      </c>
      <c r="C20" s="56">
        <v>32352945</v>
      </c>
      <c r="D20" s="56">
        <f>'GF Exp by Func &amp; Mj Obj '!D42</f>
        <v>32687639</v>
      </c>
      <c r="E20" s="48">
        <f>27280216.66+37261.82+2596.94</f>
        <v>27320075.420000002</v>
      </c>
      <c r="F20" s="56" t="e">
        <f>#REF!</f>
        <v>#REF!</v>
      </c>
      <c r="G20" s="48" t="e">
        <f t="shared" si="2"/>
        <v>#REF!</v>
      </c>
      <c r="Q20" s="49"/>
      <c r="R20" s="49"/>
      <c r="S20" s="42">
        <v>267545</v>
      </c>
      <c r="T20" s="297"/>
      <c r="U20" s="42">
        <v>399849</v>
      </c>
      <c r="V20" s="42"/>
      <c r="W20" s="42">
        <v>666418</v>
      </c>
      <c r="X20" s="42"/>
      <c r="Y20" s="42">
        <v>800682</v>
      </c>
      <c r="Z20" s="42"/>
      <c r="AA20" s="42">
        <v>935599</v>
      </c>
    </row>
    <row r="21" spans="1:27" x14ac:dyDescent="0.25">
      <c r="A21" s="88">
        <v>31</v>
      </c>
      <c r="B21" s="66" t="s">
        <v>10</v>
      </c>
      <c r="C21" s="56">
        <v>21563709</v>
      </c>
      <c r="D21" s="56">
        <f>'GF Exp by Func &amp; Mj Obj '!D49</f>
        <v>24064740</v>
      </c>
      <c r="E21" s="48">
        <f>17672092.61+27695.72+2957.4</f>
        <v>17702745.729999997</v>
      </c>
      <c r="F21" s="56" t="e">
        <f>#REF!</f>
        <v>#REF!</v>
      </c>
      <c r="G21" s="48" t="e">
        <f t="shared" si="2"/>
        <v>#REF!</v>
      </c>
      <c r="Q21" s="49"/>
      <c r="R21" s="49"/>
      <c r="S21" s="42">
        <v>94301</v>
      </c>
      <c r="T21" s="297"/>
      <c r="U21" s="42">
        <v>189073</v>
      </c>
      <c r="V21" s="42"/>
      <c r="W21" s="42">
        <v>380028</v>
      </c>
      <c r="X21" s="42"/>
      <c r="Y21" s="42">
        <v>476211</v>
      </c>
      <c r="Z21" s="42"/>
      <c r="AA21" s="42">
        <v>572864</v>
      </c>
    </row>
    <row r="22" spans="1:27" x14ac:dyDescent="0.25">
      <c r="A22" s="88">
        <v>32</v>
      </c>
      <c r="B22" s="66" t="s">
        <v>11</v>
      </c>
      <c r="C22" s="56">
        <v>325302</v>
      </c>
      <c r="D22" s="56">
        <f>'GF Exp by Func &amp; Mj Obj '!D63</f>
        <v>404482</v>
      </c>
      <c r="E22" s="48">
        <f>882531.74+4177.2</f>
        <v>886708.94</v>
      </c>
      <c r="F22" s="56" t="e">
        <f>#REF!</f>
        <v>#REF!</v>
      </c>
      <c r="G22" s="48" t="e">
        <f t="shared" si="2"/>
        <v>#REF!</v>
      </c>
      <c r="Q22" s="49"/>
      <c r="R22" s="49"/>
      <c r="S22" s="42">
        <v>1025</v>
      </c>
      <c r="T22" s="297"/>
      <c r="U22" s="42">
        <v>2056</v>
      </c>
      <c r="V22" s="42"/>
      <c r="W22" s="42">
        <v>4132</v>
      </c>
      <c r="X22" s="42"/>
      <c r="Y22" s="42">
        <v>5177</v>
      </c>
      <c r="Z22" s="42"/>
      <c r="AA22" s="42">
        <v>6228</v>
      </c>
    </row>
    <row r="23" spans="1:27" x14ac:dyDescent="0.25">
      <c r="A23" s="88">
        <v>33</v>
      </c>
      <c r="B23" s="66" t="s">
        <v>12</v>
      </c>
      <c r="C23" s="56">
        <v>5664211</v>
      </c>
      <c r="D23" s="56">
        <f>'GF Exp by Func &amp; Mj Obj '!D70</f>
        <v>5726308</v>
      </c>
      <c r="E23" s="48">
        <f>4740397.6+6234.27+7.08</f>
        <v>4746638.9499999993</v>
      </c>
      <c r="F23" s="56" t="e">
        <f>#REF!</f>
        <v>#REF!</v>
      </c>
      <c r="G23" s="48" t="e">
        <f t="shared" si="2"/>
        <v>#REF!</v>
      </c>
      <c r="Q23" s="49"/>
      <c r="R23" s="49"/>
      <c r="S23" s="42">
        <v>22368</v>
      </c>
      <c r="T23" s="297"/>
      <c r="U23" s="42">
        <v>44847</v>
      </c>
      <c r="V23" s="42"/>
      <c r="W23" s="42">
        <v>90140</v>
      </c>
      <c r="X23" s="42"/>
      <c r="Y23" s="42">
        <v>112954</v>
      </c>
      <c r="Z23" s="42"/>
      <c r="AA23" s="42">
        <v>135880</v>
      </c>
    </row>
    <row r="24" spans="1:27" x14ac:dyDescent="0.25">
      <c r="A24" s="88">
        <v>34</v>
      </c>
      <c r="B24" s="66" t="s">
        <v>13</v>
      </c>
      <c r="C24" s="56">
        <v>15515870</v>
      </c>
      <c r="D24" s="56">
        <f>'GF Exp by Func &amp; Mj Obj '!D77</f>
        <v>15469983</v>
      </c>
      <c r="E24" s="48">
        <f>13071453.53+4042.13</f>
        <v>13075495.66</v>
      </c>
      <c r="F24" s="56" t="e">
        <f>#REF!</f>
        <v>#REF!</v>
      </c>
      <c r="G24" s="48" t="e">
        <f t="shared" si="2"/>
        <v>#REF!</v>
      </c>
      <c r="Q24" s="49"/>
      <c r="R24" s="49"/>
      <c r="S24" s="42">
        <v>161</v>
      </c>
      <c r="T24" s="297"/>
      <c r="U24" s="42">
        <v>323</v>
      </c>
      <c r="V24" s="42"/>
      <c r="W24" s="42">
        <v>650</v>
      </c>
      <c r="X24" s="42"/>
      <c r="Y24" s="42">
        <v>814</v>
      </c>
      <c r="Z24" s="42"/>
      <c r="AA24" s="42">
        <v>979</v>
      </c>
    </row>
    <row r="25" spans="1:27" x14ac:dyDescent="0.25">
      <c r="A25" s="88">
        <v>35</v>
      </c>
      <c r="B25" s="66" t="s">
        <v>14</v>
      </c>
      <c r="C25" s="56">
        <v>35900</v>
      </c>
      <c r="D25" s="56">
        <f>'GF Exp by Func &amp; Mj Obj '!D85</f>
        <v>48777</v>
      </c>
      <c r="E25" s="48">
        <f>58137.95</f>
        <v>58137.95</v>
      </c>
      <c r="F25" s="56" t="e">
        <f>#REF!</f>
        <v>#REF!</v>
      </c>
      <c r="G25" s="48" t="e">
        <f t="shared" si="2"/>
        <v>#REF!</v>
      </c>
      <c r="Q25" s="49"/>
      <c r="R25" s="49"/>
      <c r="S25" s="42">
        <v>161</v>
      </c>
      <c r="T25" s="297"/>
      <c r="U25" s="42">
        <v>323</v>
      </c>
      <c r="V25" s="42"/>
      <c r="W25" s="42">
        <v>650</v>
      </c>
      <c r="X25" s="42"/>
      <c r="Y25" s="42">
        <v>814</v>
      </c>
      <c r="Z25" s="42"/>
      <c r="AA25" s="42">
        <v>979</v>
      </c>
    </row>
    <row r="26" spans="1:27" x14ac:dyDescent="0.25">
      <c r="A26" s="88">
        <v>36</v>
      </c>
      <c r="B26" s="66" t="s">
        <v>15</v>
      </c>
      <c r="C26" s="56">
        <v>10350197</v>
      </c>
      <c r="D26" s="56">
        <f>'GF Exp by Func &amp; Mj Obj '!D93</f>
        <v>12418867</v>
      </c>
      <c r="E26" s="48">
        <f>9625460.54+297750.93+3086.26</f>
        <v>9926297.7299999986</v>
      </c>
      <c r="F26" s="56" t="e">
        <f>#REF!</f>
        <v>#REF!</v>
      </c>
      <c r="G26" s="48" t="e">
        <f t="shared" si="2"/>
        <v>#REF!</v>
      </c>
      <c r="Q26" s="49"/>
      <c r="R26" s="49"/>
      <c r="S26" s="42">
        <v>6128</v>
      </c>
      <c r="T26" s="297"/>
      <c r="U26" s="42">
        <v>12286</v>
      </c>
      <c r="V26" s="42"/>
      <c r="W26" s="42">
        <v>24694</v>
      </c>
      <c r="X26" s="42"/>
      <c r="Y26" s="42">
        <v>30944</v>
      </c>
      <c r="Z26" s="42"/>
      <c r="AA26" s="42">
        <v>37225</v>
      </c>
    </row>
    <row r="27" spans="1:27" x14ac:dyDescent="0.25">
      <c r="A27" s="88">
        <v>41</v>
      </c>
      <c r="B27" s="66" t="s">
        <v>16</v>
      </c>
      <c r="C27" s="56">
        <v>9704712</v>
      </c>
      <c r="D27" s="56">
        <f>'GF Exp by Func &amp; Mj Obj '!D101</f>
        <v>11565520</v>
      </c>
      <c r="E27" s="48">
        <f>8618600.5+139318.83+5504.88</f>
        <v>8763424.2100000009</v>
      </c>
      <c r="F27" s="56" t="e">
        <f>#REF!</f>
        <v>#REF!</v>
      </c>
      <c r="G27" s="48" t="e">
        <f t="shared" si="2"/>
        <v>#REF!</v>
      </c>
      <c r="Q27" s="49"/>
      <c r="R27" s="49"/>
      <c r="S27" s="42">
        <v>176557</v>
      </c>
      <c r="T27" s="297"/>
      <c r="U27" s="42">
        <v>206743</v>
      </c>
      <c r="V27" s="42"/>
      <c r="W27" s="42">
        <v>267554</v>
      </c>
      <c r="X27" s="42"/>
      <c r="Y27" s="42">
        <v>298178</v>
      </c>
      <c r="Z27" s="42"/>
      <c r="AA27" s="42">
        <v>328949</v>
      </c>
    </row>
    <row r="28" spans="1:27" x14ac:dyDescent="0.25">
      <c r="A28" s="88">
        <v>51</v>
      </c>
      <c r="B28" s="66" t="s">
        <v>17</v>
      </c>
      <c r="C28" s="56">
        <v>39886191</v>
      </c>
      <c r="D28" s="56">
        <f>'GF Exp by Func &amp; Mj Obj '!D109</f>
        <v>44310942</v>
      </c>
      <c r="E28" s="48">
        <f>29174837.07+2425224.96+2294125.51</f>
        <v>33894187.539999999</v>
      </c>
      <c r="F28" s="56" t="e">
        <f>#REF!</f>
        <v>#REF!</v>
      </c>
      <c r="G28" s="48" t="e">
        <f t="shared" si="2"/>
        <v>#REF!</v>
      </c>
      <c r="Q28" s="49"/>
      <c r="R28" s="49"/>
      <c r="S28" s="42">
        <v>29491</v>
      </c>
      <c r="T28" s="297"/>
      <c r="U28" s="42">
        <v>59128</v>
      </c>
      <c r="V28" s="42"/>
      <c r="W28" s="42">
        <v>118845</v>
      </c>
      <c r="X28" s="42"/>
      <c r="Y28" s="42">
        <v>148924</v>
      </c>
      <c r="Z28" s="42"/>
      <c r="AA28" s="42">
        <v>179150</v>
      </c>
    </row>
    <row r="29" spans="1:27" x14ac:dyDescent="0.25">
      <c r="A29" s="88">
        <v>52</v>
      </c>
      <c r="B29" s="66" t="s">
        <v>18</v>
      </c>
      <c r="C29" s="56">
        <v>2116763</v>
      </c>
      <c r="D29" s="56">
        <f>'GF Exp by Func &amp; Mj Obj '!D124</f>
        <v>3493183</v>
      </c>
      <c r="E29" s="48">
        <f>1841394.27+178803.49</f>
        <v>2020197.76</v>
      </c>
      <c r="F29" s="56" t="e">
        <f>#REF!</f>
        <v>#REF!</v>
      </c>
      <c r="G29" s="48" t="e">
        <f t="shared" si="2"/>
        <v>#REF!</v>
      </c>
      <c r="Q29" s="49"/>
      <c r="R29" s="49"/>
      <c r="S29" s="42">
        <v>4450</v>
      </c>
      <c r="T29" s="297"/>
      <c r="U29" s="42">
        <v>8923</v>
      </c>
      <c r="V29" s="42"/>
      <c r="W29" s="42">
        <v>17934</v>
      </c>
      <c r="X29" s="42"/>
      <c r="Y29" s="42">
        <v>22473</v>
      </c>
      <c r="Z29" s="42"/>
      <c r="AA29" s="42">
        <v>27034</v>
      </c>
    </row>
    <row r="30" spans="1:27" x14ac:dyDescent="0.25">
      <c r="A30" s="88">
        <v>53</v>
      </c>
      <c r="B30" s="66" t="s">
        <v>19</v>
      </c>
      <c r="C30" s="56">
        <v>11022216</v>
      </c>
      <c r="D30" s="56">
        <f>'GF Exp by Func &amp; Mj Obj '!D132</f>
        <v>12883234</v>
      </c>
      <c r="E30" s="48">
        <f>8788849.2+210912.26+117966.87</f>
        <v>9117728.3299999982</v>
      </c>
      <c r="F30" s="56" t="e">
        <f>#REF!</f>
        <v>#REF!</v>
      </c>
      <c r="G30" s="48" t="e">
        <f t="shared" si="2"/>
        <v>#REF!</v>
      </c>
      <c r="Q30" s="49"/>
      <c r="R30" s="49"/>
      <c r="S30" s="42">
        <v>31746</v>
      </c>
      <c r="T30" s="297"/>
      <c r="U30" s="42">
        <v>63650</v>
      </c>
      <c r="V30" s="42"/>
      <c r="W30" s="42">
        <v>127934</v>
      </c>
      <c r="X30" s="42"/>
      <c r="Y30" s="42">
        <v>160314</v>
      </c>
      <c r="Z30" s="42"/>
      <c r="AA30" s="42">
        <v>192851</v>
      </c>
    </row>
    <row r="31" spans="1:27" x14ac:dyDescent="0.25">
      <c r="A31" s="88">
        <v>61</v>
      </c>
      <c r="B31" s="66" t="s">
        <v>20</v>
      </c>
      <c r="C31" s="56">
        <v>6605359</v>
      </c>
      <c r="D31" s="56">
        <f>'GF Exp by Func &amp; Mj Obj '!D139</f>
        <v>9565300</v>
      </c>
      <c r="E31" s="48">
        <f>5386295.69+19884.79+95.47</f>
        <v>5406275.9500000002</v>
      </c>
      <c r="F31" s="56" t="e">
        <f>#REF!</f>
        <v>#REF!</v>
      </c>
      <c r="G31" s="48" t="e">
        <f t="shared" si="2"/>
        <v>#REF!</v>
      </c>
      <c r="Q31" s="49"/>
      <c r="R31" s="49"/>
      <c r="S31" s="42">
        <v>25783</v>
      </c>
      <c r="T31" s="297"/>
      <c r="U31" s="42">
        <v>51969</v>
      </c>
      <c r="V31" s="42"/>
      <c r="W31" s="42">
        <v>103906</v>
      </c>
      <c r="X31" s="42"/>
      <c r="Y31" s="42">
        <v>130203</v>
      </c>
      <c r="Z31" s="42"/>
      <c r="AA31" s="42">
        <v>156630</v>
      </c>
    </row>
    <row r="32" spans="1:27" x14ac:dyDescent="0.25">
      <c r="A32" s="88">
        <v>71</v>
      </c>
      <c r="B32" s="66" t="s">
        <v>21</v>
      </c>
      <c r="C32" s="56">
        <v>658425</v>
      </c>
      <c r="D32" s="56">
        <f>'GF Exp by Func &amp; Mj Obj '!D144</f>
        <v>0</v>
      </c>
      <c r="E32" s="48">
        <f>658425.2</f>
        <v>658425.19999999995</v>
      </c>
      <c r="F32" s="56">
        <f>'2.5% Pay Increase'!E139</f>
        <v>0</v>
      </c>
      <c r="G32" s="48">
        <f t="shared" si="2"/>
        <v>0</v>
      </c>
      <c r="Q32" s="49"/>
      <c r="R32" s="49"/>
      <c r="S32" s="42"/>
      <c r="T32" s="297"/>
      <c r="U32" s="42"/>
      <c r="V32" s="42"/>
      <c r="W32" s="42"/>
      <c r="X32" s="42"/>
      <c r="Y32" s="42"/>
      <c r="Z32" s="42"/>
      <c r="AA32" s="42"/>
    </row>
    <row r="33" spans="1:27" x14ac:dyDescent="0.25">
      <c r="A33" s="88">
        <v>81</v>
      </c>
      <c r="B33" s="66" t="s">
        <v>22</v>
      </c>
      <c r="C33" s="56">
        <v>72092</v>
      </c>
      <c r="D33" s="56">
        <f>'GF Exp by Func &amp; Mj Obj '!D37</f>
        <v>0</v>
      </c>
      <c r="E33" s="48">
        <v>42834</v>
      </c>
      <c r="F33" s="56">
        <v>0</v>
      </c>
      <c r="G33" s="48">
        <f t="shared" si="2"/>
        <v>0</v>
      </c>
      <c r="Q33" s="49"/>
      <c r="R33" s="49"/>
      <c r="S33" s="42"/>
      <c r="T33" s="297"/>
      <c r="U33" s="42"/>
      <c r="V33" s="42"/>
      <c r="W33" s="42"/>
      <c r="X33" s="42"/>
      <c r="Y33" s="42"/>
      <c r="Z33" s="42"/>
      <c r="AA33" s="42"/>
    </row>
    <row r="34" spans="1:27" x14ac:dyDescent="0.25">
      <c r="A34" s="88">
        <v>91</v>
      </c>
      <c r="B34" s="66" t="s">
        <v>176</v>
      </c>
      <c r="C34" s="56">
        <v>0</v>
      </c>
      <c r="D34" s="56">
        <f>'GF Exp by Func &amp; Mj Obj '!D148</f>
        <v>32444332</v>
      </c>
      <c r="E34" s="48"/>
      <c r="F34" s="56" t="e">
        <f>#REF!</f>
        <v>#REF!</v>
      </c>
      <c r="G34" s="48" t="e">
        <f t="shared" si="2"/>
        <v>#REF!</v>
      </c>
      <c r="Q34" s="49"/>
      <c r="R34" s="49"/>
      <c r="S34" s="42"/>
      <c r="T34" s="297"/>
      <c r="U34" s="42"/>
      <c r="V34" s="42"/>
      <c r="W34" s="42"/>
      <c r="X34" s="42"/>
      <c r="Y34" s="42"/>
      <c r="Z34" s="42"/>
      <c r="AA34" s="42"/>
    </row>
    <row r="35" spans="1:27" x14ac:dyDescent="0.25">
      <c r="A35" s="88">
        <v>93</v>
      </c>
      <c r="B35" s="66" t="s">
        <v>23</v>
      </c>
      <c r="C35" s="56">
        <v>82000</v>
      </c>
      <c r="D35" s="56">
        <f>'GF Exp by Func &amp; Mj Obj '!D157</f>
        <v>210000</v>
      </c>
      <c r="E35" s="48">
        <v>210000</v>
      </c>
      <c r="F35" s="56" t="e">
        <f>#REF!</f>
        <v>#REF!</v>
      </c>
      <c r="G35" s="48" t="e">
        <f t="shared" si="2"/>
        <v>#REF!</v>
      </c>
      <c r="Q35" s="49"/>
      <c r="R35" s="49"/>
      <c r="S35" s="42"/>
      <c r="T35" s="297"/>
      <c r="U35" s="42"/>
      <c r="V35" s="42"/>
      <c r="W35" s="42"/>
      <c r="X35" s="42"/>
      <c r="Y35" s="42"/>
      <c r="Z35" s="42"/>
      <c r="AA35" s="42"/>
    </row>
    <row r="36" spans="1:27" x14ac:dyDescent="0.25">
      <c r="A36" s="88">
        <v>95</v>
      </c>
      <c r="B36" s="66" t="s">
        <v>190</v>
      </c>
      <c r="C36" s="56">
        <v>34176</v>
      </c>
      <c r="D36" s="56">
        <f>'GF Exp by Func &amp; Mj Obj '!D161</f>
        <v>200000</v>
      </c>
      <c r="E36" s="48">
        <v>200000</v>
      </c>
      <c r="F36" s="56" t="e">
        <f>#REF!</f>
        <v>#REF!</v>
      </c>
      <c r="G36" s="48" t="e">
        <f t="shared" si="2"/>
        <v>#REF!</v>
      </c>
      <c r="Q36" s="49"/>
      <c r="R36" s="49"/>
      <c r="S36" s="42"/>
      <c r="T36" s="297"/>
      <c r="U36" s="42"/>
      <c r="V36" s="42"/>
      <c r="W36" s="42"/>
      <c r="X36" s="42"/>
      <c r="Y36" s="42"/>
      <c r="Z36" s="42"/>
      <c r="AA36" s="42"/>
    </row>
    <row r="37" spans="1:27" x14ac:dyDescent="0.25">
      <c r="A37" s="88">
        <v>99</v>
      </c>
      <c r="B37" s="66" t="s">
        <v>24</v>
      </c>
      <c r="C37" s="56">
        <v>2939064</v>
      </c>
      <c r="D37" s="56">
        <f>'GF Exp by Func &amp; Mj Obj '!D165</f>
        <v>3850000</v>
      </c>
      <c r="E37" s="48">
        <v>2853235</v>
      </c>
      <c r="F37" s="56" t="e">
        <f>#REF!</f>
        <v>#REF!</v>
      </c>
      <c r="G37" s="48" t="e">
        <f t="shared" si="2"/>
        <v>#REF!</v>
      </c>
      <c r="Q37" s="49"/>
      <c r="R37" s="49"/>
      <c r="S37" s="42"/>
      <c r="T37" s="297"/>
      <c r="U37" s="42"/>
      <c r="V37" s="42"/>
      <c r="W37" s="42"/>
      <c r="X37" s="42"/>
      <c r="Y37" s="42"/>
      <c r="Z37" s="42"/>
      <c r="AA37" s="42"/>
    </row>
    <row r="38" spans="1:27" ht="15.75" thickBot="1" x14ac:dyDescent="0.3">
      <c r="A38" s="88"/>
      <c r="B38" s="2" t="s">
        <v>25</v>
      </c>
      <c r="C38" s="61">
        <f t="shared" ref="C38:D38" si="3">SUM(C16:C37)</f>
        <v>473472962</v>
      </c>
      <c r="D38" s="61">
        <f t="shared" si="3"/>
        <v>543060739.00000012</v>
      </c>
      <c r="E38" s="61">
        <f>SUM(E16:E37)</f>
        <v>404688672.62</v>
      </c>
      <c r="F38" s="298" t="e">
        <f>SUM(F16:F37)</f>
        <v>#REF!</v>
      </c>
      <c r="G38" s="61" t="e">
        <f>SUM(G16:G37)</f>
        <v>#REF!</v>
      </c>
      <c r="Q38" s="49"/>
      <c r="R38" s="49"/>
      <c r="S38" s="295">
        <f>SUM(S16:S37)</f>
        <v>1862978</v>
      </c>
      <c r="T38" s="297"/>
      <c r="U38" s="295">
        <f>SUM(U16:U37)</f>
        <v>3451695</v>
      </c>
      <c r="V38" s="297"/>
      <c r="W38" s="295">
        <f>SUM(W16:W37)</f>
        <v>6651940</v>
      </c>
      <c r="X38" s="42"/>
      <c r="Y38" s="308">
        <f>SUM(Y16:Y37)</f>
        <v>8264009</v>
      </c>
      <c r="Z38" s="42"/>
      <c r="AA38" s="306">
        <f>SUM(AA16:AA37)</f>
        <v>9883958</v>
      </c>
    </row>
    <row r="39" spans="1:27" ht="15.75" thickTop="1" x14ac:dyDescent="0.25">
      <c r="A39" s="88"/>
      <c r="B39" s="75"/>
      <c r="C39" s="89"/>
      <c r="D39" s="74"/>
      <c r="E39" s="65"/>
      <c r="F39" s="65"/>
      <c r="G39" s="65"/>
      <c r="Q39" s="49" t="s">
        <v>215</v>
      </c>
      <c r="R39" s="49"/>
      <c r="S39" s="388">
        <f>3451695-1862978</f>
        <v>1588717</v>
      </c>
      <c r="T39" s="388"/>
      <c r="U39" s="388"/>
      <c r="V39" s="49"/>
      <c r="W39" s="42">
        <f>6651940-3451695</f>
        <v>3200245</v>
      </c>
      <c r="X39" s="42"/>
      <c r="Y39" s="42">
        <f>8264009-6651940</f>
        <v>1612069</v>
      </c>
      <c r="Z39" s="42"/>
      <c r="AA39" s="42">
        <f>9883958-8264009</f>
        <v>1619949</v>
      </c>
    </row>
    <row r="40" spans="1:27" x14ac:dyDescent="0.25">
      <c r="A40" s="88"/>
      <c r="B40" s="75"/>
      <c r="C40" s="89"/>
      <c r="D40" s="74"/>
      <c r="E40" s="65"/>
      <c r="F40" s="65"/>
      <c r="G40" s="65"/>
    </row>
    <row r="41" spans="1:27" x14ac:dyDescent="0.25">
      <c r="A41" s="88"/>
      <c r="B41" s="2" t="s">
        <v>172</v>
      </c>
      <c r="C41" s="89"/>
      <c r="D41" s="74"/>
      <c r="E41" s="65"/>
      <c r="F41" s="65"/>
      <c r="G41" s="65"/>
    </row>
    <row r="42" spans="1:27" x14ac:dyDescent="0.25">
      <c r="A42" s="88"/>
      <c r="B42" s="2" t="s">
        <v>173</v>
      </c>
      <c r="C42" s="79">
        <f t="shared" ref="C42:D42" si="4">+C13-C38</f>
        <v>27430588.970000029</v>
      </c>
      <c r="D42" s="79">
        <f t="shared" si="4"/>
        <v>-12384168.000000119</v>
      </c>
      <c r="E42" s="79" t="e">
        <f>+E13-E38</f>
        <v>#REF!</v>
      </c>
      <c r="F42" s="79" t="e">
        <f>+F13-F38</f>
        <v>#REF!</v>
      </c>
      <c r="G42" s="79" t="e">
        <f>+G13-G38</f>
        <v>#REF!</v>
      </c>
    </row>
    <row r="43" spans="1:27" x14ac:dyDescent="0.25">
      <c r="A43" s="88"/>
      <c r="B43" s="2"/>
      <c r="C43" s="65"/>
      <c r="D43" s="74"/>
      <c r="E43" s="65"/>
      <c r="F43" s="75"/>
      <c r="G43" s="65"/>
    </row>
    <row r="44" spans="1:27" x14ac:dyDescent="0.25">
      <c r="A44" s="88"/>
      <c r="B44" s="2" t="s">
        <v>185</v>
      </c>
      <c r="C44" s="65"/>
      <c r="D44" s="74"/>
      <c r="E44" s="65"/>
      <c r="F44" s="75"/>
      <c r="G44" s="65"/>
    </row>
    <row r="45" spans="1:27" x14ac:dyDescent="0.25">
      <c r="A45" s="88"/>
      <c r="B45" s="75" t="s">
        <v>29</v>
      </c>
      <c r="C45" s="56">
        <f>SUM('GF Rev by Obj'!D45:D47)</f>
        <v>22494953</v>
      </c>
      <c r="D45" s="268">
        <f>+'GF Rev by Obj'!E49</f>
        <v>0</v>
      </c>
      <c r="E45" s="268" t="e">
        <f>+'GF Rev by Obj'!#REF!</f>
        <v>#REF!</v>
      </c>
      <c r="F45" s="268">
        <f>+'GF Rev by Obj'!F49</f>
        <v>0</v>
      </c>
      <c r="G45" s="48">
        <f>+F45-D45</f>
        <v>0</v>
      </c>
    </row>
    <row r="46" spans="1:27" x14ac:dyDescent="0.25">
      <c r="A46" s="88"/>
      <c r="B46" s="75" t="s">
        <v>30</v>
      </c>
      <c r="C46" s="56">
        <v>-500000</v>
      </c>
      <c r="D46" s="268">
        <v>0</v>
      </c>
      <c r="E46" s="268">
        <v>1700000</v>
      </c>
      <c r="F46" s="268">
        <v>0</v>
      </c>
      <c r="G46" s="48">
        <f>+F46-D46</f>
        <v>0</v>
      </c>
    </row>
    <row r="47" spans="1:27" x14ac:dyDescent="0.25">
      <c r="A47" s="88"/>
      <c r="B47" s="16" t="s">
        <v>31</v>
      </c>
      <c r="C47" s="266">
        <f>SUM(C45:C46)</f>
        <v>21994953</v>
      </c>
      <c r="D47" s="266">
        <f>SUM(D45:D46)</f>
        <v>0</v>
      </c>
      <c r="E47" s="266" t="e">
        <f>+E45-E46</f>
        <v>#REF!</v>
      </c>
      <c r="F47" s="266">
        <f>SUM(F45:F46)</f>
        <v>0</v>
      </c>
      <c r="G47" s="266">
        <f>SUM(G45:G46)</f>
        <v>0</v>
      </c>
    </row>
    <row r="48" spans="1:27" x14ac:dyDescent="0.25">
      <c r="A48" s="88"/>
      <c r="B48" s="75"/>
      <c r="C48" s="89"/>
      <c r="D48" s="74"/>
      <c r="E48" s="65"/>
      <c r="F48" s="65"/>
      <c r="G48" s="65"/>
    </row>
    <row r="49" spans="1:7" ht="15.75" thickBot="1" x14ac:dyDescent="0.3">
      <c r="A49" s="88"/>
      <c r="B49" s="2" t="s">
        <v>156</v>
      </c>
      <c r="C49" s="104">
        <f>+C42+C47</f>
        <v>49425541.970000029</v>
      </c>
      <c r="D49" s="104">
        <f>+D42+D47</f>
        <v>-12384168.000000119</v>
      </c>
      <c r="E49" s="104">
        <v>4000000</v>
      </c>
      <c r="F49" s="104" t="e">
        <f>+F42+F47</f>
        <v>#REF!</v>
      </c>
      <c r="G49" s="104" t="e">
        <f>+G42+G47</f>
        <v>#REF!</v>
      </c>
    </row>
    <row r="50" spans="1:7" ht="15.75" thickTop="1" x14ac:dyDescent="0.25">
      <c r="A50" s="88"/>
      <c r="B50" s="75"/>
      <c r="C50" s="89"/>
      <c r="D50" s="58"/>
      <c r="E50" s="58"/>
      <c r="F50" s="275"/>
      <c r="G50" s="58"/>
    </row>
    <row r="51" spans="1:7" x14ac:dyDescent="0.25">
      <c r="A51" s="88"/>
      <c r="B51" s="39" t="s">
        <v>34</v>
      </c>
      <c r="C51" s="56">
        <v>158671093</v>
      </c>
      <c r="D51" s="82">
        <f>C52</f>
        <v>208096634.97000003</v>
      </c>
      <c r="E51" s="58">
        <f>C52</f>
        <v>208096634.97000003</v>
      </c>
      <c r="F51" s="276">
        <f>+E52</f>
        <v>212096634.97000003</v>
      </c>
      <c r="G51" s="83"/>
    </row>
    <row r="52" spans="1:7" ht="15.75" thickBot="1" x14ac:dyDescent="0.3">
      <c r="A52" s="88"/>
      <c r="B52" s="2" t="s">
        <v>35</v>
      </c>
      <c r="C52" s="86">
        <f t="shared" ref="C52:D52" si="5">SUM(C49:C51)</f>
        <v>208096634.97000003</v>
      </c>
      <c r="D52" s="86">
        <f t="shared" si="5"/>
        <v>195712466.96999991</v>
      </c>
      <c r="E52" s="86">
        <f>SUM(E49:E51)</f>
        <v>212096634.97000003</v>
      </c>
      <c r="F52" s="277" t="e">
        <f>SUM(F49:F51)</f>
        <v>#REF!</v>
      </c>
      <c r="G52" s="90"/>
    </row>
    <row r="53" spans="1:7" ht="15.75" thickTop="1" x14ac:dyDescent="0.25">
      <c r="A53" s="88"/>
      <c r="B53" s="75"/>
      <c r="C53" s="65"/>
      <c r="D53" s="74"/>
      <c r="E53" s="65"/>
      <c r="F53" s="275"/>
      <c r="G53" s="73"/>
    </row>
    <row r="54" spans="1:7" x14ac:dyDescent="0.25">
      <c r="A54" s="279"/>
      <c r="B54" s="280"/>
      <c r="C54" s="281"/>
      <c r="D54" s="281"/>
      <c r="E54" s="281"/>
      <c r="F54" s="282"/>
      <c r="G54" s="73"/>
    </row>
    <row r="55" spans="1:7" x14ac:dyDescent="0.25">
      <c r="A55" s="279"/>
      <c r="B55" s="279"/>
      <c r="C55" s="281"/>
      <c r="D55" s="281"/>
      <c r="E55" s="281"/>
      <c r="F55" s="282"/>
      <c r="G55" s="65"/>
    </row>
    <row r="56" spans="1:7" x14ac:dyDescent="0.25">
      <c r="A56" s="279"/>
      <c r="B56" s="279"/>
      <c r="C56" s="281"/>
      <c r="D56" s="281"/>
      <c r="E56" s="281"/>
      <c r="F56" s="282"/>
      <c r="G56" s="65"/>
    </row>
    <row r="57" spans="1:7" x14ac:dyDescent="0.25">
      <c r="A57" s="279"/>
      <c r="B57" s="279"/>
      <c r="C57" s="281"/>
      <c r="D57" s="281"/>
      <c r="E57" s="281"/>
      <c r="F57" s="282"/>
      <c r="G57" s="65"/>
    </row>
    <row r="58" spans="1:7" x14ac:dyDescent="0.25">
      <c r="A58" s="279"/>
      <c r="B58" s="280"/>
      <c r="C58" s="281"/>
      <c r="D58" s="281"/>
      <c r="E58" s="281"/>
      <c r="F58" s="283"/>
      <c r="G58" s="65"/>
    </row>
    <row r="59" spans="1:7" x14ac:dyDescent="0.25">
      <c r="A59" s="279"/>
      <c r="B59" s="279"/>
      <c r="C59" s="281"/>
      <c r="D59" s="281"/>
      <c r="E59" s="281"/>
      <c r="F59" s="281"/>
      <c r="G59" s="65"/>
    </row>
    <row r="60" spans="1:7" x14ac:dyDescent="0.25">
      <c r="A60" s="279"/>
      <c r="B60" s="279"/>
      <c r="C60" s="281"/>
      <c r="D60" s="281"/>
      <c r="E60" s="281"/>
      <c r="F60" s="281"/>
      <c r="G60" s="88"/>
    </row>
    <row r="61" spans="1:7" x14ac:dyDescent="0.25">
      <c r="A61" s="88"/>
      <c r="B61" s="88"/>
      <c r="C61" s="89"/>
      <c r="D61" s="89"/>
      <c r="E61" s="89"/>
      <c r="F61" s="89"/>
      <c r="G61" s="88"/>
    </row>
    <row r="62" spans="1:7" x14ac:dyDescent="0.25">
      <c r="A62" s="88"/>
      <c r="B62" s="88"/>
      <c r="C62" s="89"/>
      <c r="D62" s="89"/>
      <c r="E62" s="89"/>
      <c r="F62" s="89"/>
      <c r="G62" s="88"/>
    </row>
    <row r="63" spans="1:7" x14ac:dyDescent="0.25">
      <c r="A63" s="88"/>
      <c r="B63" s="88"/>
      <c r="C63" s="89"/>
      <c r="D63" s="89"/>
      <c r="E63" s="89"/>
      <c r="F63" s="92"/>
      <c r="G63" s="88"/>
    </row>
    <row r="64" spans="1:7" x14ac:dyDescent="0.25">
      <c r="A64" s="88"/>
      <c r="B64" s="88"/>
      <c r="C64" s="89"/>
      <c r="D64" s="89"/>
      <c r="E64" s="89"/>
      <c r="F64" s="89"/>
      <c r="G64" s="88"/>
    </row>
    <row r="65" spans="1:7" x14ac:dyDescent="0.25">
      <c r="A65" s="88"/>
      <c r="B65" s="88"/>
      <c r="C65" s="89"/>
      <c r="D65" s="89"/>
      <c r="E65" s="89"/>
      <c r="F65" s="89"/>
      <c r="G65" s="88"/>
    </row>
    <row r="66" spans="1:7" x14ac:dyDescent="0.25">
      <c r="A66" s="88"/>
      <c r="B66" s="88"/>
      <c r="C66" s="89"/>
      <c r="D66" s="89"/>
      <c r="E66" s="89"/>
      <c r="F66" s="89"/>
      <c r="G66" s="88"/>
    </row>
  </sheetData>
  <mergeCells count="3">
    <mergeCell ref="B1:G1"/>
    <mergeCell ref="B2:G2"/>
    <mergeCell ref="S39:U39"/>
  </mergeCells>
  <pageMargins left="0.7" right="0.7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"/>
  <sheetViews>
    <sheetView tabSelected="1" zoomScaleNormal="100" workbookViewId="0">
      <selection activeCell="B35" sqref="B35"/>
    </sheetView>
  </sheetViews>
  <sheetFormatPr defaultColWidth="9.140625" defaultRowHeight="12" x14ac:dyDescent="0.2"/>
  <cols>
    <col min="1" max="1" width="5.85546875" style="317" bestFit="1" customWidth="1"/>
    <col min="2" max="2" width="6" style="31" customWidth="1"/>
    <col min="3" max="3" width="35" style="31" customWidth="1"/>
    <col min="4" max="6" width="13.42578125" style="33" customWidth="1"/>
    <col min="7" max="7" width="16.140625" style="32" customWidth="1"/>
    <col min="8" max="8" width="9.140625" style="31"/>
    <col min="9" max="9" width="12.85546875" style="42" bestFit="1" customWidth="1"/>
    <col min="10" max="10" width="9.140625" style="31"/>
    <col min="11" max="11" width="10.42578125" style="31" bestFit="1" customWidth="1"/>
    <col min="12" max="16384" width="9.140625" style="31"/>
  </cols>
  <sheetData>
    <row r="1" spans="1:19" ht="12.75" x14ac:dyDescent="0.2">
      <c r="B1" s="390" t="s">
        <v>0</v>
      </c>
      <c r="C1" s="390"/>
      <c r="D1" s="390"/>
      <c r="E1" s="390"/>
      <c r="F1" s="390"/>
      <c r="G1" s="390"/>
    </row>
    <row r="2" spans="1:19" ht="12.75" x14ac:dyDescent="0.2">
      <c r="B2" s="390" t="s">
        <v>46</v>
      </c>
      <c r="C2" s="390"/>
      <c r="D2" s="390"/>
      <c r="E2" s="390"/>
      <c r="F2" s="390"/>
      <c r="G2" s="390"/>
      <c r="I2" s="33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2.75" x14ac:dyDescent="0.2">
      <c r="B3" s="88"/>
      <c r="C3" s="88"/>
      <c r="D3" s="56"/>
      <c r="E3" s="56"/>
      <c r="F3" s="56"/>
      <c r="G3" s="144"/>
      <c r="I3" s="33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4.25" customHeight="1" x14ac:dyDescent="0.2">
      <c r="B4" s="88"/>
      <c r="C4" s="88"/>
      <c r="D4" s="140"/>
      <c r="E4" s="141"/>
      <c r="F4" s="141"/>
      <c r="G4" s="389" t="s">
        <v>240</v>
      </c>
      <c r="I4" s="33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2.75" x14ac:dyDescent="0.2">
      <c r="B5" s="88"/>
      <c r="C5" s="88"/>
      <c r="D5" s="141"/>
      <c r="E5" s="141"/>
      <c r="F5" s="141"/>
      <c r="G5" s="389"/>
      <c r="I5" s="33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51" customHeight="1" x14ac:dyDescent="0.35">
      <c r="B6" s="88"/>
      <c r="C6" s="88"/>
      <c r="D6" s="142" t="s">
        <v>230</v>
      </c>
      <c r="E6" s="142" t="s">
        <v>231</v>
      </c>
      <c r="F6" s="142" t="s">
        <v>239</v>
      </c>
      <c r="G6" s="389"/>
      <c r="I6" s="63"/>
      <c r="J6" s="64"/>
      <c r="K6" s="64"/>
      <c r="L6" s="62"/>
      <c r="M6" s="62"/>
      <c r="N6" s="62"/>
      <c r="O6" s="62"/>
      <c r="P6" s="62"/>
      <c r="Q6" s="62"/>
      <c r="R6" s="62"/>
      <c r="S6" s="62"/>
    </row>
    <row r="7" spans="1:19" ht="12.75" x14ac:dyDescent="0.2">
      <c r="A7" s="317" t="s">
        <v>219</v>
      </c>
      <c r="B7" s="143" t="s">
        <v>116</v>
      </c>
      <c r="C7" s="88"/>
      <c r="D7" s="56"/>
      <c r="E7" s="56"/>
      <c r="F7" s="56"/>
      <c r="G7" s="144"/>
      <c r="I7" s="33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ht="12.75" x14ac:dyDescent="0.2">
      <c r="A8" s="317">
        <v>1</v>
      </c>
      <c r="B8" s="88">
        <v>5711</v>
      </c>
      <c r="C8" s="88" t="s">
        <v>134</v>
      </c>
      <c r="D8" s="145">
        <v>406889363.23000002</v>
      </c>
      <c r="E8" s="145">
        <v>433866366</v>
      </c>
      <c r="F8" s="145">
        <v>470940918</v>
      </c>
      <c r="G8" s="146">
        <f t="shared" ref="G8:G22" si="0">+F8-E8</f>
        <v>37074552</v>
      </c>
      <c r="I8" s="33"/>
      <c r="J8" s="33"/>
      <c r="K8" s="62"/>
      <c r="L8" s="62"/>
      <c r="M8" s="62"/>
      <c r="N8" s="62"/>
      <c r="O8" s="62"/>
      <c r="P8" s="62"/>
      <c r="Q8" s="62"/>
      <c r="R8" s="62"/>
      <c r="S8" s="62"/>
    </row>
    <row r="9" spans="1:19" ht="12.75" x14ac:dyDescent="0.2">
      <c r="A9" s="317">
        <v>2</v>
      </c>
      <c r="B9" s="88">
        <v>5712</v>
      </c>
      <c r="C9" s="88" t="s">
        <v>135</v>
      </c>
      <c r="D9" s="335">
        <v>2643491.5099999998</v>
      </c>
      <c r="E9" s="335">
        <v>2500000</v>
      </c>
      <c r="F9" s="56">
        <v>2500000</v>
      </c>
      <c r="G9" s="144">
        <f t="shared" si="0"/>
        <v>0</v>
      </c>
      <c r="I9" s="33"/>
      <c r="J9" s="33"/>
      <c r="K9" s="62"/>
      <c r="L9" s="62"/>
      <c r="M9" s="62"/>
      <c r="N9" s="62"/>
      <c r="O9" s="62"/>
      <c r="P9" s="62"/>
      <c r="Q9" s="62"/>
      <c r="R9" s="62"/>
      <c r="S9" s="62"/>
    </row>
    <row r="10" spans="1:19" ht="12.75" x14ac:dyDescent="0.2">
      <c r="A10" s="317">
        <v>3</v>
      </c>
      <c r="B10" s="88">
        <v>5719</v>
      </c>
      <c r="C10" s="88" t="s">
        <v>129</v>
      </c>
      <c r="D10" s="335">
        <v>2107423.11</v>
      </c>
      <c r="E10" s="335">
        <v>2000000</v>
      </c>
      <c r="F10" s="56">
        <v>2000000</v>
      </c>
      <c r="G10" s="144">
        <f t="shared" si="0"/>
        <v>0</v>
      </c>
      <c r="I10" s="33"/>
      <c r="J10" s="33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12.75" x14ac:dyDescent="0.2">
      <c r="A11" s="317">
        <v>4</v>
      </c>
      <c r="B11" s="88">
        <v>5739</v>
      </c>
      <c r="C11" s="88" t="s">
        <v>136</v>
      </c>
      <c r="D11" s="335">
        <v>6644236.2300000004</v>
      </c>
      <c r="E11" s="335">
        <v>7475455</v>
      </c>
      <c r="F11" s="56">
        <v>7629655</v>
      </c>
      <c r="G11" s="144">
        <f t="shared" si="0"/>
        <v>154200</v>
      </c>
      <c r="I11" s="287"/>
      <c r="J11" s="287"/>
      <c r="K11" s="288"/>
      <c r="L11" s="288"/>
      <c r="M11" s="62"/>
      <c r="N11" s="62"/>
      <c r="O11" s="62"/>
      <c r="P11" s="62"/>
      <c r="Q11" s="62"/>
      <c r="R11" s="62"/>
      <c r="S11" s="62"/>
    </row>
    <row r="12" spans="1:19" ht="12.75" x14ac:dyDescent="0.2">
      <c r="A12" s="317">
        <v>5</v>
      </c>
      <c r="B12" s="88">
        <v>5742</v>
      </c>
      <c r="C12" s="88" t="s">
        <v>130</v>
      </c>
      <c r="D12" s="335">
        <v>2981827.49</v>
      </c>
      <c r="E12" s="335">
        <v>4524948</v>
      </c>
      <c r="F12" s="56">
        <v>3500000</v>
      </c>
      <c r="G12" s="144">
        <f t="shared" si="0"/>
        <v>-1024948</v>
      </c>
      <c r="I12" s="33"/>
      <c r="J12" s="33"/>
      <c r="K12" s="62"/>
      <c r="L12" s="62"/>
      <c r="M12" s="62"/>
      <c r="N12" s="62"/>
      <c r="O12" s="62"/>
      <c r="P12" s="62"/>
      <c r="Q12" s="62"/>
      <c r="R12" s="62"/>
      <c r="S12" s="62"/>
    </row>
    <row r="13" spans="1:19" ht="12.75" x14ac:dyDescent="0.2">
      <c r="A13" s="317">
        <v>6</v>
      </c>
      <c r="B13" s="88">
        <v>5743</v>
      </c>
      <c r="C13" s="88" t="s">
        <v>137</v>
      </c>
      <c r="D13" s="335">
        <v>822077.69</v>
      </c>
      <c r="E13" s="335">
        <v>1243100</v>
      </c>
      <c r="F13" s="56">
        <v>1251150</v>
      </c>
      <c r="G13" s="144">
        <f t="shared" si="0"/>
        <v>8050</v>
      </c>
      <c r="I13" s="33"/>
      <c r="J13" s="33"/>
      <c r="K13" s="62"/>
      <c r="L13" s="62"/>
      <c r="M13" s="62"/>
      <c r="N13" s="62"/>
      <c r="O13" s="62"/>
      <c r="P13" s="62"/>
      <c r="Q13" s="62"/>
      <c r="R13" s="62"/>
      <c r="S13" s="62"/>
    </row>
    <row r="14" spans="1:19" ht="12.75" x14ac:dyDescent="0.2">
      <c r="A14" s="317">
        <v>7</v>
      </c>
      <c r="B14" s="88">
        <v>5744</v>
      </c>
      <c r="C14" s="88" t="s">
        <v>138</v>
      </c>
      <c r="D14" s="335">
        <v>0</v>
      </c>
      <c r="E14" s="335">
        <v>0</v>
      </c>
      <c r="F14" s="56">
        <v>0</v>
      </c>
      <c r="G14" s="144">
        <f t="shared" si="0"/>
        <v>0</v>
      </c>
      <c r="I14" s="33"/>
      <c r="J14" s="33"/>
      <c r="K14" s="62"/>
      <c r="L14" s="62"/>
      <c r="M14" s="62"/>
      <c r="N14" s="62"/>
      <c r="O14" s="62"/>
      <c r="P14" s="62"/>
      <c r="Q14" s="62"/>
      <c r="R14" s="62"/>
      <c r="S14" s="62"/>
    </row>
    <row r="15" spans="1:19" ht="12.75" x14ac:dyDescent="0.2">
      <c r="A15" s="317">
        <v>8</v>
      </c>
      <c r="B15" s="88">
        <v>5745</v>
      </c>
      <c r="C15" s="88" t="s">
        <v>139</v>
      </c>
      <c r="D15" s="335">
        <v>0</v>
      </c>
      <c r="E15" s="335">
        <v>0</v>
      </c>
      <c r="F15" s="56">
        <v>0</v>
      </c>
      <c r="G15" s="144">
        <f t="shared" si="0"/>
        <v>0</v>
      </c>
      <c r="J15" s="42"/>
    </row>
    <row r="16" spans="1:19" ht="12.75" x14ac:dyDescent="0.2">
      <c r="A16" s="317">
        <v>9</v>
      </c>
      <c r="B16" s="88">
        <v>5749</v>
      </c>
      <c r="C16" s="88" t="s">
        <v>193</v>
      </c>
      <c r="D16" s="335">
        <v>1473435.02</v>
      </c>
      <c r="E16" s="335">
        <v>1047500</v>
      </c>
      <c r="F16" s="56">
        <v>1127500</v>
      </c>
      <c r="G16" s="144">
        <f t="shared" si="0"/>
        <v>80000</v>
      </c>
      <c r="J16" s="42"/>
    </row>
    <row r="17" spans="1:13" ht="12.75" x14ac:dyDescent="0.2">
      <c r="A17" s="317">
        <v>10</v>
      </c>
      <c r="B17" s="88">
        <v>5751</v>
      </c>
      <c r="C17" s="88" t="s">
        <v>110</v>
      </c>
      <c r="D17" s="335">
        <v>0</v>
      </c>
      <c r="E17" s="335">
        <v>0</v>
      </c>
      <c r="F17" s="56">
        <v>0</v>
      </c>
      <c r="G17" s="144">
        <f t="shared" si="0"/>
        <v>0</v>
      </c>
      <c r="J17" s="42"/>
    </row>
    <row r="18" spans="1:13" ht="12.75" x14ac:dyDescent="0.2">
      <c r="A18" s="317">
        <v>11</v>
      </c>
      <c r="B18" s="88">
        <v>5752</v>
      </c>
      <c r="C18" s="88" t="s">
        <v>140</v>
      </c>
      <c r="D18" s="335">
        <v>828307.57</v>
      </c>
      <c r="E18" s="335">
        <v>926500</v>
      </c>
      <c r="F18" s="56">
        <v>1000000</v>
      </c>
      <c r="G18" s="144">
        <f t="shared" si="0"/>
        <v>73500</v>
      </c>
      <c r="I18" s="289"/>
      <c r="J18" s="289"/>
      <c r="K18" s="290"/>
      <c r="L18" s="290"/>
      <c r="M18" s="290"/>
    </row>
    <row r="19" spans="1:13" ht="12.75" x14ac:dyDescent="0.2">
      <c r="A19" s="317">
        <v>12</v>
      </c>
      <c r="B19" s="88">
        <v>5753</v>
      </c>
      <c r="C19" s="88" t="s">
        <v>194</v>
      </c>
      <c r="D19" s="335">
        <v>154339.49</v>
      </c>
      <c r="E19" s="335">
        <v>151100</v>
      </c>
      <c r="F19" s="56">
        <v>200000</v>
      </c>
      <c r="G19" s="144">
        <f t="shared" si="0"/>
        <v>48900</v>
      </c>
      <c r="J19" s="42"/>
    </row>
    <row r="20" spans="1:13" ht="12.75" x14ac:dyDescent="0.2">
      <c r="A20" s="317">
        <v>13</v>
      </c>
      <c r="B20" s="88">
        <v>5755</v>
      </c>
      <c r="C20" s="88" t="s">
        <v>141</v>
      </c>
      <c r="D20" s="335">
        <v>0</v>
      </c>
      <c r="E20" s="335">
        <v>0</v>
      </c>
      <c r="F20" s="56">
        <v>0</v>
      </c>
      <c r="G20" s="144">
        <f t="shared" si="0"/>
        <v>0</v>
      </c>
      <c r="J20" s="42"/>
    </row>
    <row r="21" spans="1:13" ht="12.75" x14ac:dyDescent="0.2">
      <c r="A21" s="317">
        <v>14</v>
      </c>
      <c r="B21" s="88">
        <v>5759</v>
      </c>
      <c r="C21" s="88" t="s">
        <v>142</v>
      </c>
      <c r="D21" s="335">
        <v>3754.49</v>
      </c>
      <c r="E21" s="335">
        <v>0</v>
      </c>
      <c r="F21" s="56">
        <v>0</v>
      </c>
      <c r="G21" s="144">
        <f t="shared" si="0"/>
        <v>0</v>
      </c>
      <c r="J21" s="42"/>
    </row>
    <row r="22" spans="1:13" ht="12.75" x14ac:dyDescent="0.2">
      <c r="A22" s="317">
        <v>15</v>
      </c>
      <c r="B22" s="88">
        <v>5769</v>
      </c>
      <c r="C22" s="88" t="s">
        <v>195</v>
      </c>
      <c r="D22" s="335">
        <v>549509.75</v>
      </c>
      <c r="E22" s="335">
        <v>550000</v>
      </c>
      <c r="F22" s="56">
        <v>550000</v>
      </c>
      <c r="G22" s="144">
        <f t="shared" si="0"/>
        <v>0</v>
      </c>
      <c r="J22" s="42"/>
    </row>
    <row r="23" spans="1:13" ht="12.75" x14ac:dyDescent="0.2">
      <c r="B23" s="88"/>
      <c r="C23" s="88"/>
      <c r="D23" s="335"/>
      <c r="E23" s="335"/>
      <c r="F23" s="56"/>
      <c r="G23" s="144"/>
    </row>
    <row r="24" spans="1:13" ht="12.75" x14ac:dyDescent="0.2">
      <c r="A24" s="317">
        <v>16</v>
      </c>
      <c r="B24" s="88"/>
      <c r="C24" s="143" t="s">
        <v>114</v>
      </c>
      <c r="D24" s="147">
        <f>SUM(D8:D23)</f>
        <v>425097765.58000004</v>
      </c>
      <c r="E24" s="336">
        <f t="shared" ref="E24" si="1">SUM(E8:E23)</f>
        <v>454284969</v>
      </c>
      <c r="F24" s="147">
        <f t="shared" ref="F24:G24" si="2">SUM(F8:F23)</f>
        <v>490699223</v>
      </c>
      <c r="G24" s="148">
        <f t="shared" si="2"/>
        <v>36414254</v>
      </c>
      <c r="K24" s="318"/>
    </row>
    <row r="25" spans="1:13" s="150" customFormat="1" ht="12.75" x14ac:dyDescent="0.2">
      <c r="A25" s="317"/>
      <c r="B25" s="88"/>
      <c r="C25" s="88"/>
      <c r="D25" s="335"/>
      <c r="E25" s="335"/>
      <c r="F25" s="56"/>
      <c r="G25" s="144"/>
      <c r="I25" s="151"/>
    </row>
    <row r="26" spans="1:13" ht="12.75" x14ac:dyDescent="0.2">
      <c r="B26" s="143" t="s">
        <v>117</v>
      </c>
      <c r="C26" s="88"/>
      <c r="D26" s="335"/>
      <c r="E26" s="335"/>
      <c r="F26" s="56"/>
      <c r="G26" s="144"/>
    </row>
    <row r="27" spans="1:13" ht="12.75" x14ac:dyDescent="0.2">
      <c r="A27" s="317">
        <v>17</v>
      </c>
      <c r="B27" s="88">
        <v>5811</v>
      </c>
      <c r="C27" s="88" t="s">
        <v>147</v>
      </c>
      <c r="D27" s="335">
        <v>15648632</v>
      </c>
      <c r="E27" s="335">
        <v>19529414</v>
      </c>
      <c r="F27" s="56">
        <v>8565096</v>
      </c>
      <c r="G27" s="144">
        <f>+F27-E27</f>
        <v>-10964318</v>
      </c>
    </row>
    <row r="28" spans="1:13" ht="12.75" x14ac:dyDescent="0.2">
      <c r="A28" s="317">
        <v>18</v>
      </c>
      <c r="B28" s="88">
        <v>5812</v>
      </c>
      <c r="C28" s="88" t="s">
        <v>196</v>
      </c>
      <c r="D28" s="335">
        <v>22521680</v>
      </c>
      <c r="E28" s="335">
        <v>18867987</v>
      </c>
      <c r="F28" s="56">
        <v>9746438</v>
      </c>
      <c r="G28" s="144">
        <f>+F28-E28</f>
        <v>-9121549</v>
      </c>
    </row>
    <row r="29" spans="1:13" ht="12.75" x14ac:dyDescent="0.2">
      <c r="A29" s="317">
        <v>19</v>
      </c>
      <c r="B29" s="88">
        <v>5819</v>
      </c>
      <c r="C29" s="88" t="s">
        <v>148</v>
      </c>
      <c r="D29" s="335">
        <v>0</v>
      </c>
      <c r="E29" s="335">
        <v>0</v>
      </c>
      <c r="F29" s="56">
        <v>0</v>
      </c>
      <c r="G29" s="144">
        <f>+F29-E29</f>
        <v>0</v>
      </c>
    </row>
    <row r="30" spans="1:13" ht="12.75" x14ac:dyDescent="0.2">
      <c r="A30" s="317">
        <v>20</v>
      </c>
      <c r="B30" s="88">
        <v>5829</v>
      </c>
      <c r="C30" s="88" t="s">
        <v>197</v>
      </c>
      <c r="D30" s="335">
        <v>585162.23</v>
      </c>
      <c r="E30" s="335">
        <v>0</v>
      </c>
      <c r="F30" s="56">
        <v>0</v>
      </c>
      <c r="G30" s="144">
        <f>+F30-E30</f>
        <v>0</v>
      </c>
    </row>
    <row r="31" spans="1:13" ht="12.75" x14ac:dyDescent="0.2">
      <c r="A31" s="317">
        <v>21</v>
      </c>
      <c r="B31" s="88">
        <v>5831</v>
      </c>
      <c r="C31" s="88" t="s">
        <v>113</v>
      </c>
      <c r="D31" s="335">
        <v>28063353.93</v>
      </c>
      <c r="E31" s="335">
        <v>28000088</v>
      </c>
      <c r="F31" s="56">
        <f>33000000+1044050</f>
        <v>34044050</v>
      </c>
      <c r="G31" s="144">
        <f>+F31-E31</f>
        <v>6043962</v>
      </c>
    </row>
    <row r="32" spans="1:13" ht="12.75" x14ac:dyDescent="0.2">
      <c r="B32" s="88"/>
      <c r="C32" s="88"/>
      <c r="D32" s="335"/>
      <c r="E32" s="335"/>
      <c r="F32" s="56"/>
      <c r="G32" s="144"/>
    </row>
    <row r="33" spans="1:12" ht="12.75" x14ac:dyDescent="0.2">
      <c r="A33" s="317">
        <v>22</v>
      </c>
      <c r="B33" s="88"/>
      <c r="C33" s="143" t="s">
        <v>115</v>
      </c>
      <c r="D33" s="147">
        <f>SUM(D27:D32)</f>
        <v>66818828.159999996</v>
      </c>
      <c r="E33" s="336">
        <f t="shared" ref="E33" si="3">SUM(E27:E32)</f>
        <v>66397489</v>
      </c>
      <c r="F33" s="147">
        <f t="shared" ref="F33:G33" si="4">SUM(F27:F32)</f>
        <v>52355584</v>
      </c>
      <c r="G33" s="148">
        <f t="shared" si="4"/>
        <v>-14041905</v>
      </c>
    </row>
    <row r="34" spans="1:12" ht="12.75" x14ac:dyDescent="0.2">
      <c r="B34" s="88"/>
      <c r="C34" s="88"/>
      <c r="D34" s="335"/>
      <c r="E34" s="335"/>
      <c r="F34" s="56"/>
      <c r="G34" s="144"/>
    </row>
    <row r="35" spans="1:12" ht="12.75" x14ac:dyDescent="0.2">
      <c r="B35" s="143" t="s">
        <v>150</v>
      </c>
      <c r="C35" s="88"/>
      <c r="D35" s="335"/>
      <c r="E35" s="335"/>
      <c r="F35" s="56"/>
      <c r="G35" s="144"/>
    </row>
    <row r="36" spans="1:12" ht="12.75" x14ac:dyDescent="0.2">
      <c r="A36" s="317">
        <v>23</v>
      </c>
      <c r="B36" s="88">
        <v>5929</v>
      </c>
      <c r="C36" s="88" t="s">
        <v>198</v>
      </c>
      <c r="D36" s="335">
        <v>413957.65</v>
      </c>
      <c r="E36" s="335">
        <v>431500</v>
      </c>
      <c r="F36" s="56">
        <v>318862</v>
      </c>
      <c r="G36" s="144">
        <f>+F36-E36</f>
        <v>-112638</v>
      </c>
    </row>
    <row r="37" spans="1:12" ht="12.75" x14ac:dyDescent="0.2">
      <c r="A37" s="317">
        <v>24</v>
      </c>
      <c r="B37" s="88">
        <v>5931</v>
      </c>
      <c r="C37" s="88" t="s">
        <v>146</v>
      </c>
      <c r="D37" s="335">
        <v>3995211</v>
      </c>
      <c r="E37" s="335">
        <v>5761216</v>
      </c>
      <c r="F37" s="56">
        <v>4696173</v>
      </c>
      <c r="G37" s="144">
        <f>+F37-E37</f>
        <v>-1065043</v>
      </c>
    </row>
    <row r="38" spans="1:12" ht="12.75" hidden="1" x14ac:dyDescent="0.2">
      <c r="B38" s="88">
        <v>5939</v>
      </c>
      <c r="C38" s="88" t="s">
        <v>145</v>
      </c>
      <c r="D38" s="335"/>
      <c r="E38" s="335"/>
      <c r="F38" s="56"/>
      <c r="G38" s="144">
        <f>+F38-E38</f>
        <v>0</v>
      </c>
    </row>
    <row r="39" spans="1:12" ht="12.75" x14ac:dyDescent="0.2">
      <c r="A39" s="317">
        <v>25</v>
      </c>
      <c r="B39" s="88">
        <v>5941</v>
      </c>
      <c r="C39" s="88" t="s">
        <v>144</v>
      </c>
      <c r="D39" s="335">
        <v>3758684.58</v>
      </c>
      <c r="E39" s="335">
        <v>3526397</v>
      </c>
      <c r="F39" s="56">
        <v>3604817</v>
      </c>
      <c r="G39" s="144">
        <f>+F39-E39</f>
        <v>78420</v>
      </c>
      <c r="I39" s="289"/>
      <c r="J39" s="290"/>
      <c r="K39" s="290"/>
      <c r="L39" s="290"/>
    </row>
    <row r="40" spans="1:12" ht="12.75" x14ac:dyDescent="0.2">
      <c r="A40" s="317">
        <v>26</v>
      </c>
      <c r="B40" s="88">
        <v>5949</v>
      </c>
      <c r="C40" s="88" t="s">
        <v>199</v>
      </c>
      <c r="D40" s="335">
        <v>819104</v>
      </c>
      <c r="E40" s="335">
        <v>275000</v>
      </c>
      <c r="F40" s="56">
        <v>820000</v>
      </c>
      <c r="G40" s="144">
        <f>+F40-E40</f>
        <v>545000</v>
      </c>
    </row>
    <row r="41" spans="1:12" ht="12.75" x14ac:dyDescent="0.2">
      <c r="B41" s="88"/>
      <c r="C41" s="88"/>
      <c r="D41" s="335"/>
      <c r="E41" s="335"/>
      <c r="F41" s="56"/>
      <c r="G41" s="56"/>
    </row>
    <row r="42" spans="1:12" ht="12.75" x14ac:dyDescent="0.2">
      <c r="A42" s="317">
        <v>27</v>
      </c>
      <c r="B42" s="88"/>
      <c r="C42" s="143" t="s">
        <v>121</v>
      </c>
      <c r="D42" s="336">
        <f>SUM(D36:D41)</f>
        <v>8986957.2300000004</v>
      </c>
      <c r="E42" s="336">
        <f t="shared" ref="E42" si="5">SUM(E36:E41)</f>
        <v>9994113</v>
      </c>
      <c r="F42" s="147">
        <f t="shared" ref="F42:G42" si="6">SUM(F36:F41)</f>
        <v>9439852</v>
      </c>
      <c r="G42" s="147">
        <f t="shared" si="6"/>
        <v>-554261</v>
      </c>
    </row>
    <row r="43" spans="1:12" ht="12.75" x14ac:dyDescent="0.2">
      <c r="B43" s="88"/>
      <c r="C43" s="88"/>
      <c r="D43" s="335"/>
      <c r="E43" s="335"/>
      <c r="F43" s="56"/>
      <c r="G43" s="56"/>
    </row>
    <row r="44" spans="1:12" ht="12.75" x14ac:dyDescent="0.2">
      <c r="B44" s="143" t="s">
        <v>43</v>
      </c>
      <c r="C44" s="88"/>
      <c r="D44" s="335"/>
      <c r="E44" s="335"/>
      <c r="F44" s="56"/>
      <c r="G44" s="144"/>
    </row>
    <row r="45" spans="1:12" ht="12.75" x14ac:dyDescent="0.2">
      <c r="A45" s="317">
        <v>28</v>
      </c>
      <c r="B45" s="88">
        <v>7912</v>
      </c>
      <c r="C45" s="88" t="s">
        <v>143</v>
      </c>
      <c r="D45" s="335">
        <v>57394.76</v>
      </c>
      <c r="E45" s="335">
        <v>0</v>
      </c>
      <c r="F45" s="56">
        <v>0</v>
      </c>
      <c r="G45" s="144">
        <f>+F45-E45</f>
        <v>0</v>
      </c>
    </row>
    <row r="46" spans="1:12" ht="12.75" x14ac:dyDescent="0.2">
      <c r="A46" s="317">
        <v>29</v>
      </c>
      <c r="B46" s="88">
        <v>7913</v>
      </c>
      <c r="C46" s="88" t="s">
        <v>157</v>
      </c>
      <c r="D46" s="335">
        <v>0</v>
      </c>
      <c r="E46" s="335">
        <v>0</v>
      </c>
      <c r="F46" s="56">
        <v>0</v>
      </c>
      <c r="G46" s="144">
        <f>+F46-E46</f>
        <v>0</v>
      </c>
    </row>
    <row r="47" spans="1:12" ht="12.75" x14ac:dyDescent="0.2">
      <c r="A47" s="317">
        <v>30</v>
      </c>
      <c r="B47" s="88">
        <v>7915</v>
      </c>
      <c r="C47" s="88" t="s">
        <v>163</v>
      </c>
      <c r="D47" s="335">
        <v>22437558.239999998</v>
      </c>
      <c r="E47" s="335">
        <v>0</v>
      </c>
      <c r="F47" s="56">
        <v>0</v>
      </c>
      <c r="G47" s="144">
        <f>+F47-E47</f>
        <v>0</v>
      </c>
    </row>
    <row r="48" spans="1:12" ht="12.75" x14ac:dyDescent="0.2">
      <c r="B48" s="88"/>
      <c r="C48" s="88"/>
      <c r="D48" s="335"/>
      <c r="E48" s="335"/>
      <c r="F48" s="56"/>
      <c r="G48" s="144"/>
    </row>
    <row r="49" spans="1:7" ht="12.75" x14ac:dyDescent="0.2">
      <c r="A49" s="317">
        <v>31</v>
      </c>
      <c r="B49" s="88"/>
      <c r="C49" s="143" t="s">
        <v>160</v>
      </c>
      <c r="D49" s="336">
        <f>SUM(D45:D48)</f>
        <v>22494953</v>
      </c>
      <c r="E49" s="336">
        <f t="shared" ref="E49" si="7">SUM(E45:E48)</f>
        <v>0</v>
      </c>
      <c r="F49" s="147">
        <f t="shared" ref="F49:G49" si="8">SUM(F45:F48)</f>
        <v>0</v>
      </c>
      <c r="G49" s="147">
        <f t="shared" si="8"/>
        <v>0</v>
      </c>
    </row>
    <row r="50" spans="1:7" ht="12.75" x14ac:dyDescent="0.2">
      <c r="B50" s="88"/>
      <c r="C50" s="88"/>
      <c r="D50" s="335"/>
      <c r="E50" s="335"/>
      <c r="F50" s="56"/>
      <c r="G50" s="56"/>
    </row>
    <row r="51" spans="1:7" ht="13.5" thickBot="1" x14ac:dyDescent="0.25">
      <c r="A51" s="317">
        <v>32</v>
      </c>
      <c r="B51" s="88"/>
      <c r="C51" s="143" t="s">
        <v>192</v>
      </c>
      <c r="D51" s="149">
        <f>+D42+D33+D24+D49</f>
        <v>523398503.97000003</v>
      </c>
      <c r="E51" s="149">
        <f t="shared" ref="E51:G51" si="9">+E42+E33+E24+E49</f>
        <v>530676571</v>
      </c>
      <c r="F51" s="149">
        <f t="shared" si="9"/>
        <v>552494659</v>
      </c>
      <c r="G51" s="149">
        <f t="shared" si="9"/>
        <v>21818088</v>
      </c>
    </row>
    <row r="52" spans="1:7" ht="12.75" thickTop="1" x14ac:dyDescent="0.2">
      <c r="B52" s="93"/>
      <c r="C52" s="93"/>
      <c r="D52" s="95"/>
      <c r="E52" s="95"/>
      <c r="F52" s="95"/>
      <c r="G52" s="95"/>
    </row>
    <row r="53" spans="1:7" x14ac:dyDescent="0.2">
      <c r="B53" s="93"/>
      <c r="C53" s="93"/>
      <c r="D53" s="95"/>
      <c r="E53" s="95"/>
      <c r="F53" s="95"/>
      <c r="G53" s="95"/>
    </row>
    <row r="54" spans="1:7" x14ac:dyDescent="0.2">
      <c r="B54" s="96"/>
      <c r="C54" s="93"/>
      <c r="D54" s="95"/>
      <c r="E54" s="95"/>
      <c r="F54" s="95"/>
      <c r="G54" s="97"/>
    </row>
    <row r="55" spans="1:7" x14ac:dyDescent="0.2">
      <c r="B55" s="93"/>
      <c r="C55" s="93"/>
      <c r="D55" s="95"/>
      <c r="E55" s="95"/>
      <c r="F55" s="95"/>
      <c r="G55" s="97"/>
    </row>
    <row r="56" spans="1:7" x14ac:dyDescent="0.2">
      <c r="B56" s="93"/>
      <c r="C56" s="93"/>
      <c r="D56" s="95"/>
      <c r="E56" s="95"/>
      <c r="F56" s="95"/>
      <c r="G56" s="97"/>
    </row>
    <row r="57" spans="1:7" x14ac:dyDescent="0.2">
      <c r="B57" s="93"/>
      <c r="C57" s="93"/>
      <c r="D57" s="71"/>
      <c r="E57" s="71"/>
      <c r="F57" s="71"/>
      <c r="G57" s="94"/>
    </row>
    <row r="58" spans="1:7" x14ac:dyDescent="0.2">
      <c r="B58" s="93"/>
      <c r="C58" s="93"/>
      <c r="D58" s="71"/>
      <c r="E58" s="71"/>
      <c r="F58" s="71"/>
      <c r="G58" s="94"/>
    </row>
    <row r="59" spans="1:7" x14ac:dyDescent="0.2">
      <c r="B59" s="93"/>
      <c r="C59" s="93"/>
      <c r="D59" s="71"/>
      <c r="E59" s="71"/>
      <c r="F59" s="71"/>
      <c r="G59" s="94"/>
    </row>
    <row r="60" spans="1:7" x14ac:dyDescent="0.2">
      <c r="B60" s="93"/>
      <c r="C60" s="93"/>
      <c r="D60" s="71"/>
      <c r="E60" s="71"/>
      <c r="F60" s="71"/>
      <c r="G60" s="94"/>
    </row>
    <row r="61" spans="1:7" x14ac:dyDescent="0.2">
      <c r="B61" s="93"/>
      <c r="C61" s="93"/>
      <c r="D61" s="71"/>
      <c r="E61" s="71"/>
      <c r="F61" s="71"/>
      <c r="G61" s="94"/>
    </row>
    <row r="62" spans="1:7" x14ac:dyDescent="0.2">
      <c r="B62" s="93"/>
      <c r="C62" s="93"/>
      <c r="D62" s="71"/>
      <c r="E62" s="71"/>
      <c r="F62" s="71"/>
      <c r="G62" s="94"/>
    </row>
    <row r="63" spans="1:7" x14ac:dyDescent="0.2">
      <c r="B63" s="93"/>
      <c r="C63" s="93"/>
      <c r="D63" s="71"/>
      <c r="E63" s="71"/>
      <c r="F63" s="71"/>
      <c r="G63" s="94"/>
    </row>
    <row r="64" spans="1:7" x14ac:dyDescent="0.2">
      <c r="B64" s="93"/>
      <c r="C64" s="93"/>
      <c r="D64" s="71"/>
      <c r="E64" s="71"/>
      <c r="F64" s="71"/>
      <c r="G64" s="94"/>
    </row>
    <row r="65" spans="2:7" x14ac:dyDescent="0.2">
      <c r="B65" s="93"/>
      <c r="C65" s="93"/>
      <c r="D65" s="71"/>
      <c r="E65" s="71"/>
      <c r="F65" s="71"/>
      <c r="G65" s="94"/>
    </row>
    <row r="66" spans="2:7" x14ac:dyDescent="0.2">
      <c r="B66" s="93"/>
      <c r="C66" s="93"/>
      <c r="D66" s="71"/>
      <c r="E66" s="71"/>
      <c r="F66" s="71"/>
      <c r="G66" s="94"/>
    </row>
  </sheetData>
  <mergeCells count="3">
    <mergeCell ref="G4:G6"/>
    <mergeCell ref="B1:G1"/>
    <mergeCell ref="B2:G2"/>
  </mergeCells>
  <pageMargins left="0.7" right="0.7" top="0.75" bottom="0.75" header="0.3" footer="0.3"/>
  <pageSetup scale="87" orientation="portrait" r:id="rId1"/>
  <headerFooter>
    <oddFooter>&amp;C&amp;"Arial,Regular"&amp;10 -3-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8"/>
  <sheetViews>
    <sheetView tabSelected="1" zoomScale="110" zoomScaleNormal="110" workbookViewId="0">
      <pane xSplit="5" ySplit="7" topLeftCell="F8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9.140625" defaultRowHeight="15" x14ac:dyDescent="0.25"/>
  <cols>
    <col min="1" max="1" width="5.85546875" style="316" customWidth="1"/>
    <col min="2" max="2" width="9.140625" style="29"/>
    <col min="3" max="3" width="24.7109375" style="29" customWidth="1"/>
    <col min="4" max="4" width="16.7109375" style="29" customWidth="1"/>
    <col min="5" max="5" width="1.28515625" style="29" customWidth="1"/>
    <col min="6" max="6" width="16.7109375" style="304" customWidth="1"/>
    <col min="7" max="7" width="1.28515625" style="315" customWidth="1"/>
    <col min="8" max="8" width="14.7109375" style="29" customWidth="1"/>
    <col min="9" max="9" width="1.28515625" style="315" customWidth="1"/>
    <col min="10" max="10" width="8.28515625" style="29" hidden="1" customWidth="1"/>
    <col min="11" max="11" width="0" style="29" hidden="1" customWidth="1"/>
    <col min="12" max="12" width="1.42578125" style="29" hidden="1" customWidth="1"/>
    <col min="13" max="13" width="9.140625" style="29" customWidth="1"/>
    <col min="14" max="16384" width="9.140625" style="29"/>
  </cols>
  <sheetData>
    <row r="1" spans="1:12" x14ac:dyDescent="0.25">
      <c r="B1" s="392" t="s">
        <v>0</v>
      </c>
      <c r="C1" s="392"/>
      <c r="D1" s="392"/>
      <c r="E1" s="392"/>
      <c r="F1" s="392"/>
      <c r="G1" s="392"/>
      <c r="H1" s="392"/>
      <c r="I1" s="392"/>
      <c r="J1" s="392"/>
    </row>
    <row r="2" spans="1:12" x14ac:dyDescent="0.25">
      <c r="B2" s="392" t="s">
        <v>149</v>
      </c>
      <c r="C2" s="392"/>
      <c r="D2" s="392"/>
      <c r="E2" s="392"/>
      <c r="F2" s="392"/>
      <c r="G2" s="392"/>
      <c r="H2" s="392"/>
      <c r="I2" s="392"/>
      <c r="J2" s="392"/>
    </row>
    <row r="3" spans="1:12" x14ac:dyDescent="0.25">
      <c r="B3" s="393" t="s">
        <v>47</v>
      </c>
      <c r="C3" s="393"/>
      <c r="D3" s="393"/>
      <c r="E3" s="393"/>
      <c r="F3" s="393"/>
      <c r="G3" s="393"/>
      <c r="H3" s="393"/>
      <c r="I3" s="393"/>
      <c r="J3" s="393"/>
    </row>
    <row r="4" spans="1:12" x14ac:dyDescent="0.25">
      <c r="B4" s="212"/>
      <c r="C4" s="212"/>
      <c r="D4" s="212"/>
      <c r="E4" s="212"/>
      <c r="F4" s="71"/>
      <c r="G4" s="314"/>
      <c r="H4" s="212"/>
      <c r="I4" s="314"/>
      <c r="J4" s="212"/>
    </row>
    <row r="5" spans="1:12" x14ac:dyDescent="0.25">
      <c r="B5" s="172"/>
      <c r="C5" s="172"/>
      <c r="D5" s="155" t="s">
        <v>149</v>
      </c>
      <c r="E5" s="155"/>
      <c r="F5" s="339" t="s">
        <v>149</v>
      </c>
      <c r="G5" s="156"/>
      <c r="H5" s="157" t="s">
        <v>48</v>
      </c>
      <c r="I5" s="158"/>
      <c r="J5" s="159"/>
      <c r="L5" s="24" t="s">
        <v>48</v>
      </c>
    </row>
    <row r="6" spans="1:12" x14ac:dyDescent="0.25">
      <c r="B6" s="172"/>
      <c r="C6" s="172"/>
      <c r="D6" s="334" t="s">
        <v>152</v>
      </c>
      <c r="E6" s="334"/>
      <c r="F6" s="385" t="s">
        <v>152</v>
      </c>
      <c r="G6" s="161"/>
      <c r="H6" s="157" t="s">
        <v>49</v>
      </c>
      <c r="I6" s="158"/>
      <c r="J6" s="162" t="s">
        <v>48</v>
      </c>
      <c r="L6" s="24" t="s">
        <v>49</v>
      </c>
    </row>
    <row r="7" spans="1:12" x14ac:dyDescent="0.25">
      <c r="A7" s="316" t="s">
        <v>219</v>
      </c>
      <c r="B7" s="172"/>
      <c r="C7" s="172"/>
      <c r="D7" s="163" t="s">
        <v>218</v>
      </c>
      <c r="E7" s="161"/>
      <c r="F7" s="347" t="s">
        <v>224</v>
      </c>
      <c r="G7" s="161"/>
      <c r="H7" s="164" t="s">
        <v>50</v>
      </c>
      <c r="I7" s="158"/>
      <c r="J7" s="165" t="s">
        <v>51</v>
      </c>
      <c r="L7" s="25" t="s">
        <v>50</v>
      </c>
    </row>
    <row r="8" spans="1:12" x14ac:dyDescent="0.25">
      <c r="B8" s="166" t="s">
        <v>52</v>
      </c>
      <c r="C8" s="172"/>
      <c r="D8" s="167"/>
      <c r="E8" s="167"/>
      <c r="F8" s="340"/>
      <c r="G8" s="168"/>
      <c r="H8" s="169"/>
      <c r="I8" s="170"/>
      <c r="J8" s="171"/>
      <c r="L8" s="26"/>
    </row>
    <row r="9" spans="1:12" x14ac:dyDescent="0.25">
      <c r="A9" s="316">
        <v>1</v>
      </c>
      <c r="B9" s="172" t="s">
        <v>53</v>
      </c>
      <c r="C9" s="172"/>
      <c r="D9" s="173">
        <v>301358523.00000012</v>
      </c>
      <c r="E9" s="174"/>
      <c r="F9" s="173">
        <f>308872781</f>
        <v>308872781</v>
      </c>
      <c r="G9" s="175"/>
      <c r="H9" s="176">
        <f t="shared" ref="H9:H14" si="0">(+F9-D9)/D9</f>
        <v>2.4934612517993653E-2</v>
      </c>
      <c r="I9" s="177"/>
      <c r="J9" s="178">
        <f t="shared" ref="J9:J14" si="1">+F9/F$167</f>
        <v>0.53335678019104471</v>
      </c>
      <c r="L9" s="22" t="e">
        <f>(+F9-#REF!)/#REF!</f>
        <v>#REF!</v>
      </c>
    </row>
    <row r="10" spans="1:12" x14ac:dyDescent="0.25">
      <c r="A10" s="316">
        <v>2</v>
      </c>
      <c r="B10" s="172" t="s">
        <v>54</v>
      </c>
      <c r="C10" s="172"/>
      <c r="D10" s="179">
        <v>2088551</v>
      </c>
      <c r="E10" s="180"/>
      <c r="F10" s="341">
        <v>2167545</v>
      </c>
      <c r="G10" s="181">
        <f>+F10/F$28</f>
        <v>0.62268884532471658</v>
      </c>
      <c r="H10" s="176">
        <f t="shared" si="0"/>
        <v>3.7822394569249206E-2</v>
      </c>
      <c r="I10" s="177"/>
      <c r="J10" s="178">
        <f t="shared" si="1"/>
        <v>3.7428834563418461E-3</v>
      </c>
      <c r="L10" s="22" t="e">
        <f>(+F10-#REF!)/#REF!</f>
        <v>#REF!</v>
      </c>
    </row>
    <row r="11" spans="1:12" x14ac:dyDescent="0.25">
      <c r="A11" s="316">
        <v>3</v>
      </c>
      <c r="B11" s="172" t="s">
        <v>55</v>
      </c>
      <c r="C11" s="172"/>
      <c r="D11" s="179">
        <v>7754234</v>
      </c>
      <c r="E11" s="180"/>
      <c r="F11" s="341">
        <v>7536882</v>
      </c>
      <c r="G11" s="181">
        <f t="shared" ref="G11:G28" si="2">+F11/F$28</f>
        <v>2.1651833525618343</v>
      </c>
      <c r="H11" s="176">
        <f t="shared" si="0"/>
        <v>-2.803010587506129E-2</v>
      </c>
      <c r="I11" s="177"/>
      <c r="J11" s="178">
        <f t="shared" si="1"/>
        <v>1.3014572223506615E-2</v>
      </c>
      <c r="L11" s="22" t="e">
        <f>(+F11-#REF!)/#REF!</f>
        <v>#REF!</v>
      </c>
    </row>
    <row r="12" spans="1:12" x14ac:dyDescent="0.25">
      <c r="A12" s="316">
        <v>4</v>
      </c>
      <c r="B12" s="172" t="s">
        <v>56</v>
      </c>
      <c r="C12" s="172"/>
      <c r="D12" s="179">
        <v>526320</v>
      </c>
      <c r="E12" s="180"/>
      <c r="F12" s="341">
        <v>506659</v>
      </c>
      <c r="G12" s="181"/>
      <c r="H12" s="176">
        <f t="shared" si="0"/>
        <v>-3.7355601155190758E-2</v>
      </c>
      <c r="I12" s="177"/>
      <c r="J12" s="178">
        <f t="shared" si="1"/>
        <v>8.7489098916364056E-4</v>
      </c>
      <c r="L12" s="22" t="e">
        <f>(+F12-#REF!)/#REF!</f>
        <v>#REF!</v>
      </c>
    </row>
    <row r="13" spans="1:12" x14ac:dyDescent="0.25">
      <c r="A13" s="316">
        <v>5</v>
      </c>
      <c r="B13" s="172" t="s">
        <v>57</v>
      </c>
      <c r="C13" s="172"/>
      <c r="D13" s="182">
        <v>125</v>
      </c>
      <c r="E13" s="180"/>
      <c r="F13" s="341">
        <v>104375</v>
      </c>
      <c r="G13" s="181">
        <f t="shared" si="2"/>
        <v>2.9984682316061394E-2</v>
      </c>
      <c r="H13" s="176" t="s">
        <v>221</v>
      </c>
      <c r="I13" s="177"/>
      <c r="J13" s="178">
        <f t="shared" si="1"/>
        <v>1.8023314891071703E-4</v>
      </c>
      <c r="L13" s="22" t="e">
        <f>(+F13-#REF!)/#REF!</f>
        <v>#REF!</v>
      </c>
    </row>
    <row r="14" spans="1:12" x14ac:dyDescent="0.25">
      <c r="A14" s="316">
        <v>6</v>
      </c>
      <c r="B14" s="166" t="s">
        <v>58</v>
      </c>
      <c r="C14" s="172"/>
      <c r="D14" s="183">
        <f>SUM(D9:D13)</f>
        <v>311727753.00000012</v>
      </c>
      <c r="E14" s="184"/>
      <c r="F14" s="342">
        <f>SUM(F9:F13)</f>
        <v>319188242</v>
      </c>
      <c r="G14" s="181"/>
      <c r="H14" s="185">
        <f t="shared" si="0"/>
        <v>2.3932707075971765E-2</v>
      </c>
      <c r="I14" s="177"/>
      <c r="J14" s="186">
        <f t="shared" si="1"/>
        <v>0.55116936000896755</v>
      </c>
      <c r="L14" s="22" t="e">
        <f>(+F14-#REF!)/#REF!</f>
        <v>#REF!</v>
      </c>
    </row>
    <row r="15" spans="1:12" x14ac:dyDescent="0.25">
      <c r="B15" s="166"/>
      <c r="C15" s="172"/>
      <c r="D15" s="184"/>
      <c r="E15" s="184"/>
      <c r="F15" s="343"/>
      <c r="G15" s="181"/>
      <c r="H15" s="177"/>
      <c r="I15" s="177"/>
      <c r="J15" s="187"/>
      <c r="L15" s="23"/>
    </row>
    <row r="16" spans="1:12" x14ac:dyDescent="0.25">
      <c r="B16" s="166" t="s">
        <v>59</v>
      </c>
      <c r="C16" s="172"/>
      <c r="D16" s="188"/>
      <c r="E16" s="188"/>
      <c r="F16" s="340"/>
      <c r="G16" s="181">
        <f t="shared" si="2"/>
        <v>0</v>
      </c>
      <c r="H16" s="178"/>
      <c r="I16" s="187"/>
      <c r="J16" s="178"/>
      <c r="L16" s="21"/>
    </row>
    <row r="17" spans="1:12" x14ac:dyDescent="0.25">
      <c r="A17" s="316">
        <v>7</v>
      </c>
      <c r="B17" s="172" t="s">
        <v>53</v>
      </c>
      <c r="C17" s="172"/>
      <c r="D17" s="180">
        <v>5980112</v>
      </c>
      <c r="E17" s="180"/>
      <c r="F17" s="341">
        <v>6136851</v>
      </c>
      <c r="G17" s="181">
        <f t="shared" si="2"/>
        <v>1.7629846961054245</v>
      </c>
      <c r="H17" s="176">
        <f>(+F17-D17)/D17</f>
        <v>2.6210044226596424E-2</v>
      </c>
      <c r="I17" s="177"/>
      <c r="J17" s="178">
        <f>+F17/F$167</f>
        <v>1.0597020168870734E-2</v>
      </c>
      <c r="L17" s="22" t="e">
        <f>(+F17-#REF!)/#REF!</f>
        <v>#REF!</v>
      </c>
    </row>
    <row r="18" spans="1:12" x14ac:dyDescent="0.25">
      <c r="A18" s="316">
        <v>8</v>
      </c>
      <c r="B18" s="172" t="s">
        <v>54</v>
      </c>
      <c r="C18" s="172"/>
      <c r="D18" s="180">
        <v>257400</v>
      </c>
      <c r="E18" s="180"/>
      <c r="F18" s="341">
        <v>257510</v>
      </c>
      <c r="G18" s="181"/>
      <c r="H18" s="176">
        <f>(+F18-D18)/D18</f>
        <v>4.2735042735042735E-4</v>
      </c>
      <c r="I18" s="177"/>
      <c r="J18" s="178">
        <f>+F18/F$167</f>
        <v>4.446643178538802E-4</v>
      </c>
      <c r="L18" s="22" t="e">
        <f>(+F18-#REF!)/#REF!</f>
        <v>#REF!</v>
      </c>
    </row>
    <row r="19" spans="1:12" x14ac:dyDescent="0.25">
      <c r="A19" s="316">
        <v>9</v>
      </c>
      <c r="B19" s="172" t="s">
        <v>55</v>
      </c>
      <c r="C19" s="172"/>
      <c r="D19" s="180">
        <v>391425</v>
      </c>
      <c r="E19" s="180"/>
      <c r="F19" s="341">
        <v>381041</v>
      </c>
      <c r="G19" s="181">
        <f t="shared" si="2"/>
        <v>0.10946484631755066</v>
      </c>
      <c r="H19" s="176">
        <f>(+F19-D19)/D19</f>
        <v>-2.6528709203551128E-2</v>
      </c>
      <c r="I19" s="177"/>
      <c r="J19" s="178">
        <f>+F19/F$167</f>
        <v>6.5797575371581826E-4</v>
      </c>
      <c r="L19" s="22" t="e">
        <f>(+F19-#REF!)/#REF!</f>
        <v>#REF!</v>
      </c>
    </row>
    <row r="20" spans="1:12" x14ac:dyDescent="0.25">
      <c r="A20" s="316">
        <v>10</v>
      </c>
      <c r="B20" s="172" t="s">
        <v>56</v>
      </c>
      <c r="C20" s="172"/>
      <c r="D20" s="180">
        <v>4430</v>
      </c>
      <c r="E20" s="180"/>
      <c r="F20" s="341">
        <v>5150</v>
      </c>
      <c r="G20" s="181"/>
      <c r="H20" s="176">
        <f>(+F20-D20)/D20</f>
        <v>0.16252821670428894</v>
      </c>
      <c r="I20" s="177"/>
      <c r="J20" s="178">
        <f>+F20/F$167</f>
        <v>8.8929410001455589E-6</v>
      </c>
      <c r="L20" s="22" t="e">
        <f>(+F20-#REF!)/#REF!</f>
        <v>#REF!</v>
      </c>
    </row>
    <row r="21" spans="1:12" x14ac:dyDescent="0.25">
      <c r="A21" s="316">
        <v>11</v>
      </c>
      <c r="B21" s="166" t="s">
        <v>60</v>
      </c>
      <c r="C21" s="172"/>
      <c r="D21" s="183">
        <f>SUM(D17:D20)</f>
        <v>6633367</v>
      </c>
      <c r="E21" s="184"/>
      <c r="F21" s="342">
        <f>SUM(F17:F20)</f>
        <v>6780552</v>
      </c>
      <c r="G21" s="181"/>
      <c r="H21" s="185">
        <f>(+F21-D21)/D21</f>
        <v>2.2188580851926331E-2</v>
      </c>
      <c r="I21" s="177"/>
      <c r="J21" s="186">
        <f>+F21/F$167</f>
        <v>1.1708553181440578E-2</v>
      </c>
      <c r="L21" s="22" t="e">
        <f>(+F21-#REF!)/#REF!</f>
        <v>#REF!</v>
      </c>
    </row>
    <row r="22" spans="1:12" x14ac:dyDescent="0.25">
      <c r="B22" s="166"/>
      <c r="C22" s="172"/>
      <c r="D22" s="184"/>
      <c r="E22" s="184"/>
      <c r="F22" s="343"/>
      <c r="G22" s="181">
        <f t="shared" si="2"/>
        <v>0</v>
      </c>
      <c r="H22" s="177"/>
      <c r="I22" s="177"/>
      <c r="J22" s="187"/>
      <c r="L22" s="23"/>
    </row>
    <row r="23" spans="1:12" x14ac:dyDescent="0.25">
      <c r="B23" s="166" t="s">
        <v>61</v>
      </c>
      <c r="C23" s="172"/>
      <c r="D23" s="188"/>
      <c r="E23" s="188"/>
      <c r="F23" s="340"/>
      <c r="G23" s="181">
        <f t="shared" si="2"/>
        <v>0</v>
      </c>
      <c r="H23" s="178"/>
      <c r="I23" s="187"/>
      <c r="J23" s="178"/>
      <c r="L23" s="21"/>
    </row>
    <row r="24" spans="1:12" x14ac:dyDescent="0.25">
      <c r="A24" s="316">
        <v>12</v>
      </c>
      <c r="B24" s="172" t="s">
        <v>53</v>
      </c>
      <c r="C24" s="172"/>
      <c r="D24" s="180">
        <v>2375818</v>
      </c>
      <c r="E24" s="180"/>
      <c r="F24" s="341">
        <v>2567545.9999999995</v>
      </c>
      <c r="G24" s="181">
        <f t="shared" si="2"/>
        <v>0.73760048998202787</v>
      </c>
      <c r="H24" s="176">
        <f>(+F24-D24)/D24</f>
        <v>8.0699784242732206E-2</v>
      </c>
      <c r="I24" s="177"/>
      <c r="J24" s="178">
        <f>+F24/F$167</f>
        <v>4.4335990472154805E-3</v>
      </c>
      <c r="L24" s="22" t="e">
        <f>(+F24-#REF!)/#REF!</f>
        <v>#REF!</v>
      </c>
    </row>
    <row r="25" spans="1:12" x14ac:dyDescent="0.25">
      <c r="A25" s="316">
        <v>13</v>
      </c>
      <c r="B25" s="172" t="s">
        <v>54</v>
      </c>
      <c r="C25" s="172"/>
      <c r="D25" s="180">
        <v>464353</v>
      </c>
      <c r="E25" s="180"/>
      <c r="F25" s="341">
        <v>352776</v>
      </c>
      <c r="G25" s="181"/>
      <c r="H25" s="176">
        <f>(+F25-D25)/D25</f>
        <v>-0.24028486948506847</v>
      </c>
      <c r="I25" s="177"/>
      <c r="J25" s="178">
        <f>+F25/F$167</f>
        <v>6.0916818529463109E-4</v>
      </c>
      <c r="L25" s="22" t="e">
        <f>(+F25-#REF!)/#REF!</f>
        <v>#REF!</v>
      </c>
    </row>
    <row r="26" spans="1:12" x14ac:dyDescent="0.25">
      <c r="A26" s="316">
        <v>14</v>
      </c>
      <c r="B26" s="172" t="s">
        <v>55</v>
      </c>
      <c r="C26" s="172"/>
      <c r="D26" s="180">
        <v>221586</v>
      </c>
      <c r="E26" s="180"/>
      <c r="F26" s="341">
        <v>180288</v>
      </c>
      <c r="G26" s="181">
        <f t="shared" si="2"/>
        <v>5.1792846997825881E-2</v>
      </c>
      <c r="H26" s="176">
        <f>(+F26-D26)/D26</f>
        <v>-0.18637459045246541</v>
      </c>
      <c r="I26" s="177"/>
      <c r="J26" s="178">
        <f>+F26/F$167</f>
        <v>3.1131855282218304E-4</v>
      </c>
      <c r="L26" s="22" t="e">
        <f>(+F26-#REF!)/#REF!</f>
        <v>#REF!</v>
      </c>
    </row>
    <row r="27" spans="1:12" x14ac:dyDescent="0.25">
      <c r="A27" s="316">
        <v>15</v>
      </c>
      <c r="B27" s="172" t="s">
        <v>56</v>
      </c>
      <c r="C27" s="172"/>
      <c r="D27" s="180">
        <v>416742</v>
      </c>
      <c r="E27" s="180"/>
      <c r="F27" s="341">
        <v>380334</v>
      </c>
      <c r="G27" s="181"/>
      <c r="H27" s="176">
        <f>(+F27-D27)/D27</f>
        <v>-8.7363404696430891E-2</v>
      </c>
      <c r="I27" s="177"/>
      <c r="J27" s="178">
        <f>+F27/F$167</f>
        <v>6.5675491696104101E-4</v>
      </c>
      <c r="L27" s="22" t="e">
        <f>(+F27-#REF!)/#REF!</f>
        <v>#REF!</v>
      </c>
    </row>
    <row r="28" spans="1:12" x14ac:dyDescent="0.25">
      <c r="A28" s="316">
        <v>16</v>
      </c>
      <c r="B28" s="166" t="s">
        <v>62</v>
      </c>
      <c r="C28" s="172"/>
      <c r="D28" s="183">
        <f>SUM(D24:D27)</f>
        <v>3478499</v>
      </c>
      <c r="E28" s="184"/>
      <c r="F28" s="342">
        <f>SUM(F24:F27)</f>
        <v>3480943.9999999995</v>
      </c>
      <c r="G28" s="181">
        <f t="shared" si="2"/>
        <v>1</v>
      </c>
      <c r="H28" s="185">
        <f>(+F28-D28)/D28</f>
        <v>7.0288937843579502E-4</v>
      </c>
      <c r="I28" s="177"/>
      <c r="J28" s="186">
        <f>+F28/F$167</f>
        <v>6.0108407022933363E-3</v>
      </c>
      <c r="L28" s="22" t="e">
        <f>(+F28-#REF!)/#REF!</f>
        <v>#REF!</v>
      </c>
    </row>
    <row r="29" spans="1:12" x14ac:dyDescent="0.25">
      <c r="B29" s="166"/>
      <c r="C29" s="172"/>
      <c r="D29" s="184"/>
      <c r="E29" s="184"/>
      <c r="F29" s="343"/>
      <c r="G29" s="181"/>
      <c r="H29" s="177"/>
      <c r="I29" s="177"/>
      <c r="J29" s="187"/>
      <c r="L29" s="23"/>
    </row>
    <row r="30" spans="1:12" x14ac:dyDescent="0.25">
      <c r="B30" s="166" t="s">
        <v>63</v>
      </c>
      <c r="C30" s="172"/>
      <c r="D30" s="188"/>
      <c r="E30" s="188"/>
      <c r="F30" s="340"/>
      <c r="G30" s="181"/>
      <c r="H30" s="176"/>
      <c r="I30" s="177"/>
      <c r="J30" s="178"/>
      <c r="L30" s="22"/>
    </row>
    <row r="31" spans="1:12" x14ac:dyDescent="0.25">
      <c r="A31" s="316">
        <v>17</v>
      </c>
      <c r="B31" s="172" t="s">
        <v>53</v>
      </c>
      <c r="C31" s="172"/>
      <c r="D31" s="180">
        <v>11096788</v>
      </c>
      <c r="E31" s="180"/>
      <c r="F31" s="341">
        <v>10609145.999999998</v>
      </c>
      <c r="G31" s="181"/>
      <c r="H31" s="176">
        <f>(+F31-D31)/D31</f>
        <v>-4.3944427883095709E-2</v>
      </c>
      <c r="I31" s="177"/>
      <c r="J31" s="178">
        <f>+F31/F$167</f>
        <v>1.831971057086024E-2</v>
      </c>
      <c r="L31" s="22" t="e">
        <f>(+F31-#REF!)/#REF!</f>
        <v>#REF!</v>
      </c>
    </row>
    <row r="32" spans="1:12" x14ac:dyDescent="0.25">
      <c r="A32" s="316">
        <v>18</v>
      </c>
      <c r="B32" s="172" t="s">
        <v>54</v>
      </c>
      <c r="C32" s="172"/>
      <c r="D32" s="180">
        <v>442280</v>
      </c>
      <c r="E32" s="180"/>
      <c r="F32" s="341">
        <v>503458</v>
      </c>
      <c r="G32" s="181"/>
      <c r="H32" s="176">
        <f>(+F32-D32)/D32</f>
        <v>0.13832413855476169</v>
      </c>
      <c r="I32" s="177"/>
      <c r="J32" s="178">
        <f>+F32/F$167</f>
        <v>8.6936355146626854E-4</v>
      </c>
      <c r="L32" s="22" t="e">
        <f>(+F32-#REF!)/#REF!</f>
        <v>#REF!</v>
      </c>
    </row>
    <row r="33" spans="1:12" x14ac:dyDescent="0.25">
      <c r="A33" s="316">
        <v>19</v>
      </c>
      <c r="B33" s="172" t="s">
        <v>55</v>
      </c>
      <c r="C33" s="172"/>
      <c r="D33" s="180">
        <v>159800</v>
      </c>
      <c r="E33" s="180"/>
      <c r="F33" s="341">
        <v>159158</v>
      </c>
      <c r="G33" s="181"/>
      <c r="H33" s="176">
        <f>(+F33-D33)/D33</f>
        <v>-4.0175219023779723E-3</v>
      </c>
      <c r="I33" s="177"/>
      <c r="J33" s="178">
        <f>+F33/F$167</f>
        <v>2.7483159295168288E-4</v>
      </c>
      <c r="L33" s="22" t="e">
        <f>(+F33-#REF!)/#REF!</f>
        <v>#REF!</v>
      </c>
    </row>
    <row r="34" spans="1:12" x14ac:dyDescent="0.25">
      <c r="A34" s="316">
        <v>20</v>
      </c>
      <c r="B34" s="172" t="s">
        <v>56</v>
      </c>
      <c r="C34" s="172"/>
      <c r="D34" s="180">
        <v>178945</v>
      </c>
      <c r="E34" s="180"/>
      <c r="F34" s="341">
        <v>170016</v>
      </c>
      <c r="G34" s="181"/>
      <c r="H34" s="176">
        <f>(+F34-D34)/D34</f>
        <v>-4.9898013356059125E-2</v>
      </c>
      <c r="I34" s="177"/>
      <c r="J34" s="178">
        <f>+F34/F$167</f>
        <v>2.9358102079237813E-4</v>
      </c>
      <c r="L34" s="22" t="e">
        <f>(+F34-#REF!)/#REF!</f>
        <v>#REF!</v>
      </c>
    </row>
    <row r="35" spans="1:12" x14ac:dyDescent="0.25">
      <c r="A35" s="316">
        <v>21</v>
      </c>
      <c r="B35" s="189" t="s">
        <v>64</v>
      </c>
      <c r="C35" s="190"/>
      <c r="D35" s="183">
        <f>SUM(D31:D34)</f>
        <v>11877813</v>
      </c>
      <c r="E35" s="184"/>
      <c r="F35" s="342">
        <f>SUM(F31:F34)</f>
        <v>11441777.999999998</v>
      </c>
      <c r="G35" s="181"/>
      <c r="H35" s="185">
        <f>(+F35-D35)/D35</f>
        <v>-3.6710040813069028E-2</v>
      </c>
      <c r="I35" s="177"/>
      <c r="J35" s="186">
        <f>+F35/F$167</f>
        <v>1.975748673607057E-2</v>
      </c>
      <c r="L35" s="22" t="e">
        <f>(+F35-#REF!)/#REF!</f>
        <v>#REF!</v>
      </c>
    </row>
    <row r="36" spans="1:12" x14ac:dyDescent="0.25">
      <c r="B36" s="189"/>
      <c r="C36" s="190"/>
      <c r="D36" s="184"/>
      <c r="E36" s="184"/>
      <c r="F36" s="343"/>
      <c r="G36" s="181"/>
      <c r="H36" s="177"/>
      <c r="I36" s="177"/>
      <c r="J36" s="187"/>
      <c r="L36" s="23"/>
    </row>
    <row r="37" spans="1:12" x14ac:dyDescent="0.25">
      <c r="B37" s="166" t="s">
        <v>65</v>
      </c>
      <c r="C37" s="172"/>
      <c r="D37" s="191"/>
      <c r="E37" s="191"/>
      <c r="F37" s="344"/>
      <c r="G37" s="181"/>
      <c r="H37" s="176"/>
      <c r="I37" s="177"/>
      <c r="J37" s="178"/>
      <c r="L37" s="22"/>
    </row>
    <row r="38" spans="1:12" x14ac:dyDescent="0.25">
      <c r="A38" s="316">
        <v>22</v>
      </c>
      <c r="B38" s="172" t="s">
        <v>53</v>
      </c>
      <c r="C38" s="172"/>
      <c r="D38" s="180">
        <v>32146265</v>
      </c>
      <c r="E38" s="191"/>
      <c r="F38" s="341">
        <v>34197995</v>
      </c>
      <c r="G38" s="192"/>
      <c r="H38" s="176">
        <f>(+F38-D38)/D38</f>
        <v>6.3824833149356539E-2</v>
      </c>
      <c r="I38" s="177"/>
      <c r="J38" s="178">
        <f>+F38/F$167</f>
        <v>5.9052573176363657E-2</v>
      </c>
      <c r="L38" s="22" t="e">
        <f>(+F38-#REF!)/#REF!</f>
        <v>#REF!</v>
      </c>
    </row>
    <row r="39" spans="1:12" x14ac:dyDescent="0.25">
      <c r="A39" s="316">
        <v>23</v>
      </c>
      <c r="B39" s="172" t="s">
        <v>54</v>
      </c>
      <c r="C39" s="172"/>
      <c r="D39" s="191">
        <v>151044</v>
      </c>
      <c r="E39" s="191"/>
      <c r="F39" s="344">
        <v>142815</v>
      </c>
      <c r="G39" s="192"/>
      <c r="H39" s="176">
        <f>(+F39-D39)/D39</f>
        <v>-5.4480813537777069E-2</v>
      </c>
      <c r="I39" s="177"/>
      <c r="J39" s="178">
        <f>+F39/F$167</f>
        <v>2.4661075124966759E-4</v>
      </c>
      <c r="L39" s="22" t="e">
        <f>(+F39-#REF!)/#REF!</f>
        <v>#REF!</v>
      </c>
    </row>
    <row r="40" spans="1:12" x14ac:dyDescent="0.25">
      <c r="A40" s="316">
        <v>24</v>
      </c>
      <c r="B40" s="172" t="s">
        <v>55</v>
      </c>
      <c r="C40" s="172"/>
      <c r="D40" s="191">
        <v>188809</v>
      </c>
      <c r="E40" s="191"/>
      <c r="F40" s="344">
        <v>197572</v>
      </c>
      <c r="G40" s="192"/>
      <c r="H40" s="176">
        <f>(+F40-D40)/D40</f>
        <v>4.6411982479648749E-2</v>
      </c>
      <c r="I40" s="177"/>
      <c r="J40" s="178">
        <f>+F40/F$167</f>
        <v>3.4116429888946768E-4</v>
      </c>
      <c r="L40" s="22" t="e">
        <f>(+F40-#REF!)/#REF!</f>
        <v>#REF!</v>
      </c>
    </row>
    <row r="41" spans="1:12" x14ac:dyDescent="0.25">
      <c r="A41" s="316">
        <v>25</v>
      </c>
      <c r="B41" s="172" t="s">
        <v>56</v>
      </c>
      <c r="C41" s="172"/>
      <c r="D41" s="191">
        <v>201521</v>
      </c>
      <c r="E41" s="191"/>
      <c r="F41" s="344">
        <v>197227</v>
      </c>
      <c r="G41" s="192"/>
      <c r="H41" s="176">
        <f>(+F41-D41)/D41</f>
        <v>-2.1307953017303406E-2</v>
      </c>
      <c r="I41" s="177"/>
      <c r="J41" s="178">
        <f>+F41/F$167</f>
        <v>3.4056855818169094E-4</v>
      </c>
      <c r="L41" s="22" t="e">
        <f>(+F41-#REF!)/#REF!</f>
        <v>#REF!</v>
      </c>
    </row>
    <row r="42" spans="1:12" x14ac:dyDescent="0.25">
      <c r="A42" s="316">
        <v>26</v>
      </c>
      <c r="B42" s="189" t="s">
        <v>66</v>
      </c>
      <c r="C42" s="190"/>
      <c r="D42" s="193">
        <f>SUM(D38:D41)</f>
        <v>32687639</v>
      </c>
      <c r="E42" s="194"/>
      <c r="F42" s="345">
        <f>SUM(F38:F41)</f>
        <v>34735609</v>
      </c>
      <c r="G42" s="192"/>
      <c r="H42" s="185">
        <f>(+F42-D42)/D42</f>
        <v>6.2652735488176431E-2</v>
      </c>
      <c r="I42" s="177"/>
      <c r="J42" s="186">
        <f>+F42/F$167</f>
        <v>5.9980916784684486E-2</v>
      </c>
      <c r="L42" s="22" t="e">
        <f>(+F42-#REF!)/#REF!</f>
        <v>#REF!</v>
      </c>
    </row>
    <row r="43" spans="1:12" x14ac:dyDescent="0.25">
      <c r="B43" s="189"/>
      <c r="C43" s="190"/>
      <c r="D43" s="194"/>
      <c r="E43" s="194"/>
      <c r="F43" s="346"/>
      <c r="G43" s="192"/>
      <c r="H43" s="177"/>
      <c r="I43" s="177"/>
      <c r="J43" s="187"/>
      <c r="L43" s="23"/>
    </row>
    <row r="44" spans="1:12" x14ac:dyDescent="0.25">
      <c r="B44" s="166" t="s">
        <v>67</v>
      </c>
      <c r="C44" s="172"/>
      <c r="D44" s="188"/>
      <c r="E44" s="188"/>
      <c r="F44" s="340"/>
      <c r="G44" s="168"/>
      <c r="H44" s="195"/>
      <c r="I44" s="196"/>
      <c r="J44" s="197"/>
      <c r="L44" s="27"/>
    </row>
    <row r="45" spans="1:12" x14ac:dyDescent="0.25">
      <c r="A45" s="316">
        <v>27</v>
      </c>
      <c r="B45" s="172" t="s">
        <v>53</v>
      </c>
      <c r="C45" s="172"/>
      <c r="D45" s="180">
        <v>23371442</v>
      </c>
      <c r="E45" s="180"/>
      <c r="F45" s="341">
        <v>24725009.999999996</v>
      </c>
      <c r="G45" s="198"/>
      <c r="H45" s="176">
        <f>(+F45-D45)/D45</f>
        <v>5.7915467945880116E-2</v>
      </c>
      <c r="I45" s="177"/>
      <c r="J45" s="178">
        <f>+F45/F$167</f>
        <v>4.2694767991846391E-2</v>
      </c>
      <c r="L45" s="22" t="e">
        <f>(+F45-#REF!)/#REF!</f>
        <v>#REF!</v>
      </c>
    </row>
    <row r="46" spans="1:12" x14ac:dyDescent="0.25">
      <c r="A46" s="316">
        <v>28</v>
      </c>
      <c r="B46" s="172" t="s">
        <v>54</v>
      </c>
      <c r="C46" s="172"/>
      <c r="D46" s="180">
        <v>97355</v>
      </c>
      <c r="E46" s="180"/>
      <c r="F46" s="341">
        <v>87320</v>
      </c>
      <c r="G46" s="198"/>
      <c r="H46" s="176">
        <f>(+F46-D46)/D46</f>
        <v>-0.10307636998613322</v>
      </c>
      <c r="I46" s="177"/>
      <c r="J46" s="178">
        <f>+F46/F$167</f>
        <v>1.5078283653062336E-4</v>
      </c>
      <c r="L46" s="22" t="e">
        <f>(+F46-#REF!)/#REF!</f>
        <v>#REF!</v>
      </c>
    </row>
    <row r="47" spans="1:12" x14ac:dyDescent="0.25">
      <c r="A47" s="316">
        <v>29</v>
      </c>
      <c r="B47" s="172" t="s">
        <v>68</v>
      </c>
      <c r="C47" s="172"/>
      <c r="D47" s="180">
        <v>544768</v>
      </c>
      <c r="E47" s="180"/>
      <c r="F47" s="341">
        <v>625135</v>
      </c>
      <c r="G47" s="198"/>
      <c r="H47" s="176">
        <f>(+F47-D47)/D47</f>
        <v>0.14752518503289475</v>
      </c>
      <c r="I47" s="177"/>
      <c r="J47" s="178">
        <f>+F47/F$167</f>
        <v>1.0794735285681542E-3</v>
      </c>
      <c r="L47" s="22" t="e">
        <f>(+F47-#REF!)/#REF!</f>
        <v>#REF!</v>
      </c>
    </row>
    <row r="48" spans="1:12" x14ac:dyDescent="0.25">
      <c r="A48" s="316">
        <v>30</v>
      </c>
      <c r="B48" s="172" t="s">
        <v>56</v>
      </c>
      <c r="C48" s="172"/>
      <c r="D48" s="180">
        <v>51175</v>
      </c>
      <c r="E48" s="180"/>
      <c r="F48" s="341">
        <v>57480</v>
      </c>
      <c r="G48" s="198"/>
      <c r="H48" s="176">
        <f>(+F48-D48)/D48</f>
        <v>0.1232046897899365</v>
      </c>
      <c r="I48" s="177"/>
      <c r="J48" s="178">
        <f>+F48/F$167</f>
        <v>9.9255582269585775E-5</v>
      </c>
      <c r="L48" s="22" t="e">
        <f>(+F48-#REF!)/#REF!</f>
        <v>#REF!</v>
      </c>
    </row>
    <row r="49" spans="1:12" x14ac:dyDescent="0.25">
      <c r="A49" s="316">
        <v>31</v>
      </c>
      <c r="B49" s="166" t="s">
        <v>69</v>
      </c>
      <c r="C49" s="172"/>
      <c r="D49" s="183">
        <f>SUM(D45:D48)</f>
        <v>24064740</v>
      </c>
      <c r="E49" s="184"/>
      <c r="F49" s="342">
        <f>SUM(F45:F48)</f>
        <v>25494944.999999996</v>
      </c>
      <c r="G49" s="198"/>
      <c r="H49" s="185">
        <f>(+F49-D49)/D49</f>
        <v>5.9431558371293283E-2</v>
      </c>
      <c r="I49" s="177"/>
      <c r="J49" s="186">
        <f>+F49/F$167</f>
        <v>4.4024279939214754E-2</v>
      </c>
      <c r="L49" s="22" t="e">
        <f>(+F49-#REF!)/#REF!</f>
        <v>#REF!</v>
      </c>
    </row>
    <row r="50" spans="1:12" x14ac:dyDescent="0.25">
      <c r="B50" s="166"/>
      <c r="C50" s="172"/>
      <c r="D50" s="198"/>
      <c r="E50" s="198"/>
      <c r="F50" s="343"/>
      <c r="G50" s="198"/>
      <c r="H50" s="177"/>
      <c r="I50" s="177"/>
      <c r="J50" s="187"/>
      <c r="L50" s="23"/>
    </row>
    <row r="51" spans="1:12" hidden="1" x14ac:dyDescent="0.25">
      <c r="B51" s="394" t="s">
        <v>0</v>
      </c>
      <c r="C51" s="394"/>
      <c r="D51" s="394"/>
      <c r="E51" s="394"/>
      <c r="F51" s="394"/>
      <c r="G51" s="394"/>
      <c r="H51" s="394"/>
      <c r="I51" s="394"/>
      <c r="J51" s="394"/>
    </row>
    <row r="52" spans="1:12" hidden="1" x14ac:dyDescent="0.25">
      <c r="B52" s="394" t="str">
        <f>+B2</f>
        <v>General Fund</v>
      </c>
      <c r="C52" s="394"/>
      <c r="D52" s="394"/>
      <c r="E52" s="394"/>
      <c r="F52" s="394"/>
      <c r="G52" s="394"/>
      <c r="H52" s="394"/>
      <c r="I52" s="394"/>
      <c r="J52" s="394"/>
    </row>
    <row r="53" spans="1:12" hidden="1" x14ac:dyDescent="0.25">
      <c r="B53" s="391" t="s">
        <v>47</v>
      </c>
      <c r="C53" s="391"/>
      <c r="D53" s="391"/>
      <c r="E53" s="391"/>
      <c r="F53" s="391"/>
      <c r="G53" s="391"/>
      <c r="H53" s="391"/>
      <c r="I53" s="391"/>
      <c r="J53" s="391"/>
    </row>
    <row r="54" spans="1:12" hidden="1" x14ac:dyDescent="0.25">
      <c r="B54" s="391"/>
      <c r="C54" s="391"/>
      <c r="D54" s="391"/>
      <c r="E54" s="391"/>
      <c r="F54" s="391"/>
      <c r="G54" s="391"/>
      <c r="H54" s="391"/>
      <c r="I54" s="391"/>
      <c r="J54" s="391"/>
    </row>
    <row r="55" spans="1:12" hidden="1" x14ac:dyDescent="0.25">
      <c r="B55" s="172"/>
      <c r="C55" s="172"/>
      <c r="D55" s="155" t="str">
        <f>+D5</f>
        <v>General Fund</v>
      </c>
      <c r="E55" s="155"/>
      <c r="F55" s="339" t="str">
        <f>+F5</f>
        <v>General Fund</v>
      </c>
      <c r="G55" s="156"/>
      <c r="H55" s="157" t="s">
        <v>48</v>
      </c>
      <c r="I55" s="158"/>
      <c r="J55" s="159"/>
      <c r="L55" s="24" t="s">
        <v>48</v>
      </c>
    </row>
    <row r="56" spans="1:12" hidden="1" x14ac:dyDescent="0.25">
      <c r="B56" s="172"/>
      <c r="C56" s="172"/>
      <c r="D56" s="155" t="str">
        <f>+D6</f>
        <v>Adopted Budget</v>
      </c>
      <c r="E56" s="334"/>
      <c r="F56" s="339" t="str">
        <f>+F6</f>
        <v>Adopted Budget</v>
      </c>
      <c r="G56" s="161"/>
      <c r="H56" s="157" t="s">
        <v>49</v>
      </c>
      <c r="I56" s="158"/>
      <c r="J56" s="162" t="s">
        <v>48</v>
      </c>
      <c r="L56" s="24" t="s">
        <v>49</v>
      </c>
    </row>
    <row r="57" spans="1:12" hidden="1" x14ac:dyDescent="0.25">
      <c r="A57" s="316" t="s">
        <v>220</v>
      </c>
      <c r="B57" s="172"/>
      <c r="C57" s="172"/>
      <c r="D57" s="199" t="str">
        <f>+D7</f>
        <v>FY 2020-21</v>
      </c>
      <c r="E57" s="161"/>
      <c r="F57" s="347" t="str">
        <f>+F7</f>
        <v>FY 2021-22</v>
      </c>
      <c r="G57" s="161"/>
      <c r="H57" s="164" t="s">
        <v>50</v>
      </c>
      <c r="I57" s="158"/>
      <c r="J57" s="165" t="s">
        <v>51</v>
      </c>
      <c r="L57" s="25" t="s">
        <v>50</v>
      </c>
    </row>
    <row r="58" spans="1:12" x14ac:dyDescent="0.25">
      <c r="B58" s="166" t="s">
        <v>70</v>
      </c>
      <c r="C58" s="172"/>
      <c r="D58" s="167"/>
      <c r="E58" s="167"/>
      <c r="F58" s="340"/>
      <c r="G58" s="168"/>
      <c r="H58" s="176"/>
      <c r="I58" s="177"/>
      <c r="J58" s="178"/>
      <c r="L58" s="22"/>
    </row>
    <row r="59" spans="1:12" x14ac:dyDescent="0.25">
      <c r="A59" s="316">
        <v>32</v>
      </c>
      <c r="B59" s="172" t="s">
        <v>53</v>
      </c>
      <c r="C59" s="172"/>
      <c r="D59" s="174">
        <v>318012</v>
      </c>
      <c r="E59" s="174"/>
      <c r="F59" s="174">
        <v>352997</v>
      </c>
      <c r="G59" s="184"/>
      <c r="H59" s="176">
        <f>(+F59-D59)/D59</f>
        <v>0.11001157189036892</v>
      </c>
      <c r="I59" s="177"/>
      <c r="J59" s="178">
        <f>+F59/F$167</f>
        <v>6.0954980470454023E-4</v>
      </c>
      <c r="L59" s="22" t="e">
        <f>(+F59-#REF!)/#REF!</f>
        <v>#REF!</v>
      </c>
    </row>
    <row r="60" spans="1:12" x14ac:dyDescent="0.25">
      <c r="A60" s="316">
        <v>33</v>
      </c>
      <c r="B60" s="172" t="s">
        <v>54</v>
      </c>
      <c r="C60" s="172"/>
      <c r="D60" s="180">
        <v>0</v>
      </c>
      <c r="E60" s="174"/>
      <c r="F60" s="341">
        <v>2000</v>
      </c>
      <c r="G60" s="184"/>
      <c r="H60" s="176" t="s">
        <v>221</v>
      </c>
      <c r="I60" s="177"/>
      <c r="J60" s="178"/>
      <c r="L60" s="22"/>
    </row>
    <row r="61" spans="1:12" x14ac:dyDescent="0.25">
      <c r="A61" s="316">
        <v>34</v>
      </c>
      <c r="B61" s="172" t="s">
        <v>68</v>
      </c>
      <c r="C61" s="172"/>
      <c r="D61" s="180">
        <v>77500</v>
      </c>
      <c r="E61" s="180"/>
      <c r="F61" s="341">
        <v>2200</v>
      </c>
      <c r="G61" s="184"/>
      <c r="H61" s="176">
        <f>(+F61-D61)/D61</f>
        <v>-0.9716129032258064</v>
      </c>
      <c r="I61" s="177"/>
      <c r="J61" s="178">
        <f>+F61/F$167</f>
        <v>3.7989262524893653E-6</v>
      </c>
      <c r="L61" s="22"/>
    </row>
    <row r="62" spans="1:12" x14ac:dyDescent="0.25">
      <c r="A62" s="316">
        <v>35</v>
      </c>
      <c r="B62" s="172" t="s">
        <v>56</v>
      </c>
      <c r="C62" s="172"/>
      <c r="D62" s="180">
        <v>8970</v>
      </c>
      <c r="E62" s="180"/>
      <c r="F62" s="341">
        <v>10470</v>
      </c>
      <c r="G62" s="184"/>
      <c r="H62" s="176">
        <f>(+F62-D62)/D62</f>
        <v>0.16722408026755853</v>
      </c>
      <c r="I62" s="177"/>
      <c r="J62" s="178"/>
      <c r="L62" s="22"/>
    </row>
    <row r="63" spans="1:12" x14ac:dyDescent="0.25">
      <c r="A63" s="316">
        <v>36</v>
      </c>
      <c r="B63" s="166" t="s">
        <v>71</v>
      </c>
      <c r="C63" s="172"/>
      <c r="D63" s="183">
        <f>SUM(D59:D62)</f>
        <v>404482</v>
      </c>
      <c r="E63" s="184"/>
      <c r="F63" s="342">
        <f>SUM(F59:F62)</f>
        <v>367667</v>
      </c>
      <c r="G63" s="184"/>
      <c r="H63" s="185">
        <f>(+F63-D63)/D63</f>
        <v>-9.1017647262424534E-2</v>
      </c>
      <c r="I63" s="177"/>
      <c r="J63" s="186">
        <f>+F63/F$167</f>
        <v>6.3488173567000333E-4</v>
      </c>
      <c r="L63" s="22" t="e">
        <f>(+F63-#REF!)/#REF!</f>
        <v>#REF!</v>
      </c>
    </row>
    <row r="64" spans="1:12" x14ac:dyDescent="0.25">
      <c r="B64" s="166"/>
      <c r="C64" s="172"/>
      <c r="D64" s="188"/>
      <c r="E64" s="188"/>
      <c r="F64" s="340"/>
      <c r="G64" s="200"/>
      <c r="H64" s="176"/>
      <c r="I64" s="177"/>
      <c r="J64" s="178"/>
      <c r="L64" s="22"/>
    </row>
    <row r="65" spans="1:12" x14ac:dyDescent="0.25">
      <c r="B65" s="166" t="s">
        <v>72</v>
      </c>
      <c r="C65" s="172"/>
      <c r="D65" s="188"/>
      <c r="E65" s="188"/>
      <c r="F65" s="340"/>
      <c r="G65" s="200"/>
      <c r="H65" s="176"/>
      <c r="I65" s="177"/>
      <c r="J65" s="178"/>
      <c r="L65" s="22"/>
    </row>
    <row r="66" spans="1:12" x14ac:dyDescent="0.25">
      <c r="A66" s="316">
        <v>37</v>
      </c>
      <c r="B66" s="172" t="s">
        <v>53</v>
      </c>
      <c r="C66" s="172"/>
      <c r="D66" s="180">
        <v>5573556</v>
      </c>
      <c r="E66" s="180"/>
      <c r="F66" s="341">
        <v>6614878.0000000019</v>
      </c>
      <c r="G66" s="184"/>
      <c r="H66" s="176">
        <f>(+F66-D66)/D66</f>
        <v>0.18683260740539825</v>
      </c>
      <c r="I66" s="177"/>
      <c r="J66" s="178">
        <f>+F66/F$167</f>
        <v>1.1422469859642887E-2</v>
      </c>
      <c r="L66" s="22" t="e">
        <f>(+F66-#REF!)/#REF!</f>
        <v>#REF!</v>
      </c>
    </row>
    <row r="67" spans="1:12" x14ac:dyDescent="0.25">
      <c r="A67" s="316">
        <v>38</v>
      </c>
      <c r="B67" s="172" t="s">
        <v>54</v>
      </c>
      <c r="C67" s="172"/>
      <c r="D67" s="180">
        <v>12200</v>
      </c>
      <c r="E67" s="180"/>
      <c r="F67" s="341">
        <v>14200</v>
      </c>
      <c r="G67" s="184"/>
      <c r="H67" s="176">
        <f>(+F67-D67)/D67</f>
        <v>0.16393442622950818</v>
      </c>
      <c r="I67" s="177"/>
      <c r="J67" s="178">
        <f>+F67/F$167</f>
        <v>2.4520342175158629E-5</v>
      </c>
      <c r="L67" s="22" t="e">
        <f>(+F67-#REF!)/#REF!</f>
        <v>#REF!</v>
      </c>
    </row>
    <row r="68" spans="1:12" x14ac:dyDescent="0.25">
      <c r="A68" s="316">
        <v>39</v>
      </c>
      <c r="B68" s="172" t="s">
        <v>68</v>
      </c>
      <c r="C68" s="172"/>
      <c r="D68" s="180">
        <v>126930</v>
      </c>
      <c r="E68" s="180"/>
      <c r="F68" s="341">
        <v>127232</v>
      </c>
      <c r="G68" s="184"/>
      <c r="H68" s="176">
        <f>(+F68-D68)/D68</f>
        <v>2.3792641613487749E-3</v>
      </c>
      <c r="I68" s="177"/>
      <c r="J68" s="178">
        <f>+F68/F$167</f>
        <v>2.1970226588942133E-4</v>
      </c>
      <c r="L68" s="22" t="e">
        <f>(+F68-#REF!)/#REF!</f>
        <v>#REF!</v>
      </c>
    </row>
    <row r="69" spans="1:12" x14ac:dyDescent="0.25">
      <c r="A69" s="316">
        <v>40</v>
      </c>
      <c r="B69" s="172" t="s">
        <v>56</v>
      </c>
      <c r="C69" s="172"/>
      <c r="D69" s="180">
        <v>13622</v>
      </c>
      <c r="E69" s="180"/>
      <c r="F69" s="341">
        <v>11977</v>
      </c>
      <c r="G69" s="184"/>
      <c r="H69" s="176">
        <f>(+F69-D69)/D69</f>
        <v>-0.12076053442959918</v>
      </c>
      <c r="I69" s="177"/>
      <c r="J69" s="178">
        <f>+F69/F$167</f>
        <v>2.068169987548415E-5</v>
      </c>
      <c r="L69" s="22" t="e">
        <f>(+F69-#REF!)/#REF!</f>
        <v>#REF!</v>
      </c>
    </row>
    <row r="70" spans="1:12" x14ac:dyDescent="0.25">
      <c r="A70" s="316">
        <v>41</v>
      </c>
      <c r="B70" s="189" t="s">
        <v>73</v>
      </c>
      <c r="C70" s="190"/>
      <c r="D70" s="183">
        <f>SUM(D66:D69)</f>
        <v>5726308</v>
      </c>
      <c r="E70" s="184"/>
      <c r="F70" s="342">
        <f>SUM(F66:F69)</f>
        <v>6768287.0000000019</v>
      </c>
      <c r="G70" s="184"/>
      <c r="H70" s="185">
        <f>(+F70-D70)/D70</f>
        <v>0.18196349200916226</v>
      </c>
      <c r="I70" s="177"/>
      <c r="J70" s="186">
        <f>+F70/F$167</f>
        <v>1.1687374167582951E-2</v>
      </c>
      <c r="L70" s="22" t="e">
        <f>(+F70-#REF!)/#REF!</f>
        <v>#REF!</v>
      </c>
    </row>
    <row r="71" spans="1:12" x14ac:dyDescent="0.25">
      <c r="B71" s="172"/>
      <c r="C71" s="172"/>
      <c r="D71" s="188"/>
      <c r="E71" s="188"/>
      <c r="F71" s="340"/>
      <c r="G71" s="200"/>
      <c r="H71" s="176"/>
      <c r="I71" s="177"/>
      <c r="J71" s="178"/>
      <c r="L71" s="22"/>
    </row>
    <row r="72" spans="1:12" x14ac:dyDescent="0.25">
      <c r="B72" s="166" t="s">
        <v>74</v>
      </c>
      <c r="C72" s="172"/>
      <c r="D72" s="188"/>
      <c r="E72" s="188"/>
      <c r="F72" s="340"/>
      <c r="G72" s="200"/>
      <c r="H72" s="176"/>
      <c r="I72" s="177"/>
      <c r="J72" s="178"/>
      <c r="L72" s="22"/>
    </row>
    <row r="73" spans="1:12" x14ac:dyDescent="0.25">
      <c r="A73" s="316">
        <v>42</v>
      </c>
      <c r="B73" s="172" t="s">
        <v>53</v>
      </c>
      <c r="C73" s="172"/>
      <c r="D73" s="180">
        <v>46246</v>
      </c>
      <c r="E73" s="180"/>
      <c r="F73" s="341">
        <v>45159</v>
      </c>
      <c r="G73" s="184"/>
      <c r="H73" s="176">
        <f>(+F73-D73)/D73</f>
        <v>-2.3504735544695756E-2</v>
      </c>
      <c r="I73" s="177"/>
      <c r="J73" s="178">
        <f>+F73/F$167</f>
        <v>7.7979868470985116E-5</v>
      </c>
      <c r="L73" s="22" t="e">
        <f>(+F73-#REF!)/#REF!</f>
        <v>#REF!</v>
      </c>
    </row>
    <row r="74" spans="1:12" x14ac:dyDescent="0.25">
      <c r="A74" s="316">
        <v>43</v>
      </c>
      <c r="B74" s="172" t="s">
        <v>54</v>
      </c>
      <c r="C74" s="172"/>
      <c r="D74" s="180">
        <v>15423737</v>
      </c>
      <c r="E74" s="180"/>
      <c r="F74" s="341">
        <v>13977740</v>
      </c>
      <c r="G74" s="184"/>
      <c r="H74" s="176">
        <f>(+F74-D74)/D74</f>
        <v>-9.3751404085793216E-2</v>
      </c>
      <c r="I74" s="177"/>
      <c r="J74" s="178">
        <f>+F74/F$167</f>
        <v>2.4136547016577591E-2</v>
      </c>
      <c r="L74" s="22" t="e">
        <f>(+F74-#REF!)/#REF!</f>
        <v>#REF!</v>
      </c>
    </row>
    <row r="75" spans="1:12" x14ac:dyDescent="0.25">
      <c r="A75" s="316">
        <v>44</v>
      </c>
      <c r="B75" s="172" t="s">
        <v>68</v>
      </c>
      <c r="C75" s="172"/>
      <c r="D75" s="180">
        <v>0</v>
      </c>
      <c r="E75" s="180"/>
      <c r="F75" s="341">
        <v>1845000</v>
      </c>
      <c r="G75" s="184"/>
      <c r="H75" s="176" t="s">
        <v>221</v>
      </c>
      <c r="I75" s="177"/>
      <c r="J75" s="178"/>
      <c r="L75" s="22"/>
    </row>
    <row r="76" spans="1:12" x14ac:dyDescent="0.25">
      <c r="A76" s="316">
        <v>45</v>
      </c>
      <c r="B76" s="172" t="s">
        <v>57</v>
      </c>
      <c r="C76" s="172"/>
      <c r="D76" s="180">
        <v>0</v>
      </c>
      <c r="E76" s="180"/>
      <c r="F76" s="341">
        <v>175000</v>
      </c>
      <c r="G76" s="184"/>
      <c r="H76" s="176" t="s">
        <v>221</v>
      </c>
      <c r="I76" s="177"/>
      <c r="J76" s="178"/>
      <c r="L76" s="22"/>
    </row>
    <row r="77" spans="1:12" x14ac:dyDescent="0.25">
      <c r="A77" s="316">
        <v>46</v>
      </c>
      <c r="B77" s="189" t="s">
        <v>75</v>
      </c>
      <c r="C77" s="190"/>
      <c r="D77" s="183">
        <f>SUM(D73:D76)</f>
        <v>15469983</v>
      </c>
      <c r="E77" s="184"/>
      <c r="F77" s="342">
        <f>SUM(F73:F76)</f>
        <v>16042899</v>
      </c>
      <c r="G77" s="184"/>
      <c r="H77" s="185">
        <f>(+F77-D77)/D77</f>
        <v>3.703404198957426E-2</v>
      </c>
      <c r="I77" s="177"/>
      <c r="J77" s="186">
        <f>+F77/F$167</f>
        <v>2.7702631898697903E-2</v>
      </c>
      <c r="L77" s="22" t="e">
        <f>(+F77-#REF!)/#REF!</f>
        <v>#REF!</v>
      </c>
    </row>
    <row r="78" spans="1:12" x14ac:dyDescent="0.25">
      <c r="B78" s="189"/>
      <c r="C78" s="190"/>
      <c r="D78" s="184"/>
      <c r="E78" s="184"/>
      <c r="F78" s="343"/>
      <c r="G78" s="184"/>
      <c r="H78" s="177"/>
      <c r="I78" s="177"/>
      <c r="J78" s="187"/>
      <c r="L78" s="22"/>
    </row>
    <row r="79" spans="1:12" hidden="1" x14ac:dyDescent="0.25">
      <c r="B79" s="166" t="s">
        <v>97</v>
      </c>
      <c r="C79" s="172"/>
      <c r="D79" s="188"/>
      <c r="E79" s="188"/>
      <c r="F79" s="340"/>
      <c r="G79" s="200"/>
      <c r="H79" s="176"/>
      <c r="I79" s="177"/>
      <c r="J79" s="178"/>
      <c r="L79" s="22"/>
    </row>
    <row r="80" spans="1:12" hidden="1" x14ac:dyDescent="0.25">
      <c r="B80" s="172" t="s">
        <v>68</v>
      </c>
      <c r="C80" s="172"/>
      <c r="D80" s="180">
        <v>0</v>
      </c>
      <c r="E80" s="180"/>
      <c r="F80" s="341">
        <v>0</v>
      </c>
      <c r="G80" s="184"/>
      <c r="H80" s="176" t="str">
        <f>IF(D80=0,"n/a",(+F80-D80)/D80)</f>
        <v>n/a</v>
      </c>
      <c r="I80" s="177"/>
      <c r="J80" s="178">
        <f>+F80/F$167</f>
        <v>0</v>
      </c>
      <c r="L80" s="22" t="e">
        <f>(+F80-#REF!)/#REF!</f>
        <v>#REF!</v>
      </c>
    </row>
    <row r="81" spans="1:12" hidden="1" x14ac:dyDescent="0.25">
      <c r="B81" s="189" t="s">
        <v>96</v>
      </c>
      <c r="C81" s="190"/>
      <c r="D81" s="183">
        <f>SUM(D80:D80)</f>
        <v>0</v>
      </c>
      <c r="E81" s="184"/>
      <c r="F81" s="342">
        <f>SUM(F80:F80)</f>
        <v>0</v>
      </c>
      <c r="G81" s="184"/>
      <c r="H81" s="185" t="str">
        <f>IF(D81=0,"n/a",(+F81-D81)/D81)</f>
        <v>n/a</v>
      </c>
      <c r="I81" s="177"/>
      <c r="J81" s="186">
        <f>+F81/F$167</f>
        <v>0</v>
      </c>
      <c r="L81" s="22" t="e">
        <f>(+F81-#REF!)/#REF!</f>
        <v>#REF!</v>
      </c>
    </row>
    <row r="82" spans="1:12" hidden="1" x14ac:dyDescent="0.25">
      <c r="B82" s="189"/>
      <c r="C82" s="190"/>
      <c r="D82" s="184"/>
      <c r="E82" s="184"/>
      <c r="F82" s="343"/>
      <c r="G82" s="184"/>
      <c r="H82" s="177"/>
      <c r="I82" s="177"/>
      <c r="J82" s="187"/>
      <c r="L82" s="23"/>
    </row>
    <row r="83" spans="1:12" x14ac:dyDescent="0.25">
      <c r="B83" s="166" t="s">
        <v>97</v>
      </c>
      <c r="C83" s="172"/>
      <c r="D83" s="188"/>
      <c r="E83" s="188"/>
      <c r="F83" s="340"/>
      <c r="G83" s="200"/>
      <c r="H83" s="176"/>
      <c r="I83" s="177"/>
      <c r="J83" s="178"/>
      <c r="L83" s="22"/>
    </row>
    <row r="84" spans="1:12" x14ac:dyDescent="0.25">
      <c r="A84" s="316">
        <v>47</v>
      </c>
      <c r="B84" s="172" t="s">
        <v>53</v>
      </c>
      <c r="C84" s="172"/>
      <c r="D84" s="180">
        <v>48777</v>
      </c>
      <c r="E84" s="180"/>
      <c r="F84" s="341">
        <v>45159</v>
      </c>
      <c r="G84" s="184"/>
      <c r="H84" s="176">
        <f>(+F84-D84)/D84</f>
        <v>-7.4174303462697586E-2</v>
      </c>
      <c r="I84" s="177"/>
      <c r="J84" s="178">
        <f>+F84/F$167</f>
        <v>7.7979868470985116E-5</v>
      </c>
      <c r="L84" s="22" t="e">
        <f>(+F84-#REF!)/#REF!</f>
        <v>#REF!</v>
      </c>
    </row>
    <row r="85" spans="1:12" x14ac:dyDescent="0.25">
      <c r="A85" s="316">
        <v>48</v>
      </c>
      <c r="B85" s="189" t="s">
        <v>96</v>
      </c>
      <c r="C85" s="190"/>
      <c r="D85" s="183">
        <f>SUM(D84)</f>
        <v>48777</v>
      </c>
      <c r="E85" s="184"/>
      <c r="F85" s="342">
        <f>SUM(F84)</f>
        <v>45159</v>
      </c>
      <c r="G85" s="184"/>
      <c r="H85" s="185">
        <f>(+F85-D85)/D85</f>
        <v>-7.4174303462697586E-2</v>
      </c>
      <c r="I85" s="177"/>
      <c r="J85" s="186">
        <f>+F85/F$167</f>
        <v>7.7979868470985116E-5</v>
      </c>
      <c r="L85" s="22" t="e">
        <f>(+F85-#REF!)/#REF!</f>
        <v>#REF!</v>
      </c>
    </row>
    <row r="86" spans="1:12" x14ac:dyDescent="0.25">
      <c r="B86" s="189"/>
      <c r="C86" s="190"/>
      <c r="D86" s="184"/>
      <c r="E86" s="184"/>
      <c r="F86" s="343"/>
      <c r="G86" s="184"/>
      <c r="H86" s="177"/>
      <c r="I86" s="177"/>
      <c r="J86" s="187"/>
      <c r="L86" s="22"/>
    </row>
    <row r="87" spans="1:12" x14ac:dyDescent="0.25">
      <c r="B87" s="166" t="s">
        <v>76</v>
      </c>
      <c r="C87" s="172"/>
      <c r="D87" s="188"/>
      <c r="E87" s="188"/>
      <c r="F87" s="340"/>
      <c r="G87" s="200"/>
      <c r="H87" s="176"/>
      <c r="I87" s="177"/>
      <c r="J87" s="178"/>
      <c r="L87" s="22"/>
    </row>
    <row r="88" spans="1:12" x14ac:dyDescent="0.25">
      <c r="A88" s="316">
        <v>49</v>
      </c>
      <c r="B88" s="172" t="s">
        <v>53</v>
      </c>
      <c r="C88" s="172"/>
      <c r="D88" s="180">
        <v>7048549</v>
      </c>
      <c r="E88" s="180"/>
      <c r="F88" s="341">
        <v>7268638.9999999963</v>
      </c>
      <c r="G88" s="184"/>
      <c r="H88" s="176">
        <f t="shared" ref="H88:H93" si="3">(+F88-D88)/D88</f>
        <v>3.1224866280988649E-2</v>
      </c>
      <c r="I88" s="177"/>
      <c r="J88" s="178">
        <f t="shared" ref="J88:J93" si="4">+F88/F$167</f>
        <v>1.255137432589456E-2</v>
      </c>
      <c r="L88" s="22" t="e">
        <f>(+F88-#REF!)/#REF!</f>
        <v>#REF!</v>
      </c>
    </row>
    <row r="89" spans="1:12" x14ac:dyDescent="0.25">
      <c r="A89" s="316">
        <v>50</v>
      </c>
      <c r="B89" s="172" t="s">
        <v>54</v>
      </c>
      <c r="C89" s="172"/>
      <c r="D89" s="180">
        <v>697468</v>
      </c>
      <c r="E89" s="180"/>
      <c r="F89" s="341">
        <v>697098</v>
      </c>
      <c r="G89" s="184"/>
      <c r="H89" s="176">
        <f t="shared" si="3"/>
        <v>-5.3049028772646201E-4</v>
      </c>
      <c r="I89" s="177"/>
      <c r="J89" s="178">
        <f t="shared" si="4"/>
        <v>1.2037381330717415E-3</v>
      </c>
      <c r="L89" s="22" t="e">
        <f>(+F89-#REF!)/#REF!</f>
        <v>#REF!</v>
      </c>
    </row>
    <row r="90" spans="1:12" x14ac:dyDescent="0.25">
      <c r="A90" s="316">
        <v>51</v>
      </c>
      <c r="B90" s="172" t="s">
        <v>68</v>
      </c>
      <c r="C90" s="172"/>
      <c r="D90" s="180">
        <v>2621306</v>
      </c>
      <c r="E90" s="180"/>
      <c r="F90" s="341">
        <v>2599734</v>
      </c>
      <c r="G90" s="184"/>
      <c r="H90" s="176">
        <f t="shared" si="3"/>
        <v>-8.2294856075559274E-3</v>
      </c>
      <c r="I90" s="177"/>
      <c r="J90" s="178">
        <f t="shared" si="4"/>
        <v>4.4891807918587216E-3</v>
      </c>
      <c r="L90" s="22" t="e">
        <f>(+F90-#REF!)/#REF!</f>
        <v>#REF!</v>
      </c>
    </row>
    <row r="91" spans="1:12" x14ac:dyDescent="0.25">
      <c r="A91" s="316">
        <v>52</v>
      </c>
      <c r="B91" s="172" t="s">
        <v>56</v>
      </c>
      <c r="C91" s="172"/>
      <c r="D91" s="180">
        <v>2051544</v>
      </c>
      <c r="E91" s="180"/>
      <c r="F91" s="341">
        <v>2034987</v>
      </c>
      <c r="G91" s="184"/>
      <c r="H91" s="176">
        <f t="shared" si="3"/>
        <v>-8.0705068962693468E-3</v>
      </c>
      <c r="I91" s="177"/>
      <c r="J91" s="178">
        <f t="shared" si="4"/>
        <v>3.5139843353520798E-3</v>
      </c>
      <c r="L91" s="22" t="e">
        <f>(+F91-#REF!)/#REF!</f>
        <v>#REF!</v>
      </c>
    </row>
    <row r="92" spans="1:12" x14ac:dyDescent="0.25">
      <c r="A92" s="316">
        <v>53</v>
      </c>
      <c r="B92" s="172" t="s">
        <v>57</v>
      </c>
      <c r="C92" s="172"/>
      <c r="D92" s="180">
        <v>0</v>
      </c>
      <c r="E92" s="180"/>
      <c r="F92" s="341">
        <v>16500</v>
      </c>
      <c r="G92" s="184"/>
      <c r="H92" s="176" t="s">
        <v>221</v>
      </c>
      <c r="I92" s="177"/>
      <c r="J92" s="178">
        <f t="shared" si="4"/>
        <v>2.8491946893670239E-5</v>
      </c>
      <c r="L92" s="22" t="e">
        <f>(+F92-#REF!)/#REF!</f>
        <v>#REF!</v>
      </c>
    </row>
    <row r="93" spans="1:12" x14ac:dyDescent="0.25">
      <c r="A93" s="316">
        <v>54</v>
      </c>
      <c r="B93" s="189" t="s">
        <v>77</v>
      </c>
      <c r="C93" s="190"/>
      <c r="D93" s="183">
        <f>SUM(D88:D92)</f>
        <v>12418867</v>
      </c>
      <c r="E93" s="184"/>
      <c r="F93" s="342">
        <f>SUM(F88:F92)</f>
        <v>12616957.999999996</v>
      </c>
      <c r="G93" s="184"/>
      <c r="H93" s="185">
        <f t="shared" si="3"/>
        <v>1.595081097172522E-2</v>
      </c>
      <c r="I93" s="177"/>
      <c r="J93" s="186">
        <f t="shared" si="4"/>
        <v>2.1786769533070773E-2</v>
      </c>
      <c r="L93" s="22" t="e">
        <f>(+F93-#REF!)/#REF!</f>
        <v>#REF!</v>
      </c>
    </row>
    <row r="94" spans="1:12" x14ac:dyDescent="0.25">
      <c r="B94" s="172"/>
      <c r="C94" s="172"/>
      <c r="D94" s="188"/>
      <c r="E94" s="188"/>
      <c r="F94" s="340"/>
      <c r="G94" s="200"/>
      <c r="H94" s="176"/>
      <c r="I94" s="177"/>
      <c r="J94" s="178"/>
      <c r="L94" s="22"/>
    </row>
    <row r="95" spans="1:12" x14ac:dyDescent="0.25">
      <c r="B95" s="166" t="s">
        <v>78</v>
      </c>
      <c r="C95" s="172"/>
      <c r="D95" s="188"/>
      <c r="E95" s="188"/>
      <c r="F95" s="340"/>
      <c r="G95" s="200"/>
      <c r="H95" s="176"/>
      <c r="I95" s="177"/>
      <c r="J95" s="178"/>
      <c r="L95" s="22"/>
    </row>
    <row r="96" spans="1:12" x14ac:dyDescent="0.25">
      <c r="A96" s="316">
        <v>55</v>
      </c>
      <c r="B96" s="172" t="s">
        <v>53</v>
      </c>
      <c r="C96" s="172"/>
      <c r="D96" s="180">
        <v>8184239</v>
      </c>
      <c r="E96" s="180"/>
      <c r="F96" s="341">
        <v>8830843.0000000019</v>
      </c>
      <c r="G96" s="184"/>
      <c r="H96" s="176">
        <f>(+F96-D96)/D96</f>
        <v>7.9006001657576458E-2</v>
      </c>
      <c r="I96" s="177"/>
      <c r="J96" s="178">
        <f t="shared" ref="J96:J101" si="5">+F96/F$167</f>
        <v>1.5248964229232704E-2</v>
      </c>
      <c r="L96" s="22" t="e">
        <f>(+F96-#REF!)/#REF!</f>
        <v>#REF!</v>
      </c>
    </row>
    <row r="97" spans="1:12" x14ac:dyDescent="0.25">
      <c r="A97" s="316">
        <v>56</v>
      </c>
      <c r="B97" s="172" t="s">
        <v>54</v>
      </c>
      <c r="C97" s="172"/>
      <c r="D97" s="180">
        <v>2085073</v>
      </c>
      <c r="E97" s="180"/>
      <c r="F97" s="341">
        <v>2078137</v>
      </c>
      <c r="G97" s="184"/>
      <c r="H97" s="176">
        <f>(+F97-D97)/D97</f>
        <v>-3.3265022375715382E-3</v>
      </c>
      <c r="I97" s="177"/>
      <c r="J97" s="178">
        <f t="shared" si="5"/>
        <v>3.5884950934406781E-3</v>
      </c>
      <c r="L97" s="22" t="e">
        <f>(+F97-#REF!)/#REF!</f>
        <v>#REF!</v>
      </c>
    </row>
    <row r="98" spans="1:12" x14ac:dyDescent="0.25">
      <c r="A98" s="316">
        <v>57</v>
      </c>
      <c r="B98" s="172" t="s">
        <v>68</v>
      </c>
      <c r="C98" s="172"/>
      <c r="D98" s="180">
        <v>344184</v>
      </c>
      <c r="E98" s="180"/>
      <c r="F98" s="341">
        <v>344934</v>
      </c>
      <c r="G98" s="184"/>
      <c r="H98" s="176">
        <f>(+F98-D98)/D98</f>
        <v>2.1790670106687123E-3</v>
      </c>
      <c r="I98" s="177"/>
      <c r="J98" s="178">
        <f t="shared" si="5"/>
        <v>5.9562673998916666E-4</v>
      </c>
      <c r="L98" s="22" t="e">
        <f>(+F98-#REF!)/#REF!</f>
        <v>#REF!</v>
      </c>
    </row>
    <row r="99" spans="1:12" x14ac:dyDescent="0.25">
      <c r="A99" s="316">
        <v>58</v>
      </c>
      <c r="B99" s="172" t="s">
        <v>56</v>
      </c>
      <c r="C99" s="172"/>
      <c r="D99" s="180">
        <v>952024</v>
      </c>
      <c r="E99" s="180"/>
      <c r="F99" s="341">
        <v>974024</v>
      </c>
      <c r="G99" s="184"/>
      <c r="H99" s="176">
        <f>(+F99-D99)/D99</f>
        <v>2.3108661126190096E-2</v>
      </c>
      <c r="I99" s="177"/>
      <c r="J99" s="178">
        <f t="shared" si="5"/>
        <v>1.6819297018885006E-3</v>
      </c>
      <c r="L99" s="22" t="e">
        <f>(+F99-#REF!)/#REF!</f>
        <v>#REF!</v>
      </c>
    </row>
    <row r="100" spans="1:12" x14ac:dyDescent="0.25">
      <c r="A100" s="316">
        <v>59</v>
      </c>
      <c r="B100" s="172" t="s">
        <v>57</v>
      </c>
      <c r="C100" s="172"/>
      <c r="D100" s="180">
        <v>0</v>
      </c>
      <c r="E100" s="180"/>
      <c r="F100" s="341">
        <v>20500</v>
      </c>
      <c r="G100" s="184"/>
      <c r="H100" s="176" t="s">
        <v>221</v>
      </c>
      <c r="I100" s="177"/>
      <c r="J100" s="178">
        <f t="shared" si="5"/>
        <v>3.5399085534559996E-5</v>
      </c>
      <c r="L100" s="22"/>
    </row>
    <row r="101" spans="1:12" x14ac:dyDescent="0.25">
      <c r="A101" s="316">
        <v>60</v>
      </c>
      <c r="B101" s="189" t="s">
        <v>79</v>
      </c>
      <c r="C101" s="190"/>
      <c r="D101" s="183">
        <f>SUM(D96:D100)</f>
        <v>11565520</v>
      </c>
      <c r="E101" s="184"/>
      <c r="F101" s="342">
        <f>SUM(F96:F100)</f>
        <v>12248438.000000002</v>
      </c>
      <c r="G101" s="184"/>
      <c r="H101" s="185">
        <f>(+F101-D101)/D101</f>
        <v>5.9047755742932605E-2</v>
      </c>
      <c r="I101" s="177"/>
      <c r="J101" s="186">
        <f t="shared" si="5"/>
        <v>2.1150414850085609E-2</v>
      </c>
      <c r="L101" s="22" t="e">
        <f>(+F101-#REF!)/#REF!</f>
        <v>#REF!</v>
      </c>
    </row>
    <row r="102" spans="1:12" x14ac:dyDescent="0.25">
      <c r="B102" s="172"/>
      <c r="C102" s="172"/>
      <c r="D102" s="191"/>
      <c r="E102" s="191"/>
      <c r="F102" s="344"/>
      <c r="G102" s="194"/>
      <c r="H102" s="201"/>
      <c r="I102" s="202"/>
      <c r="J102" s="203"/>
      <c r="L102" s="28"/>
    </row>
    <row r="103" spans="1:12" x14ac:dyDescent="0.25">
      <c r="B103" s="166" t="s">
        <v>186</v>
      </c>
      <c r="C103" s="172"/>
      <c r="D103" s="188"/>
      <c r="E103" s="188"/>
      <c r="F103" s="340"/>
      <c r="G103" s="200"/>
      <c r="H103" s="195"/>
      <c r="I103" s="196"/>
      <c r="J103" s="197"/>
      <c r="L103" s="27"/>
    </row>
    <row r="104" spans="1:12" x14ac:dyDescent="0.25">
      <c r="A104" s="316">
        <v>61</v>
      </c>
      <c r="B104" s="172" t="s">
        <v>80</v>
      </c>
      <c r="C104" s="172"/>
      <c r="D104" s="174">
        <v>7576894</v>
      </c>
      <c r="E104" s="174"/>
      <c r="F104" s="174">
        <v>7824581</v>
      </c>
      <c r="G104" s="184"/>
      <c r="H104" s="176">
        <f t="shared" ref="H104:H109" si="6">(+F104-D104)/D104</f>
        <v>3.2689780271441045E-2</v>
      </c>
      <c r="I104" s="177"/>
      <c r="J104" s="178">
        <f t="shared" ref="J104:J109" si="7">+F104/F$167</f>
        <v>1.351136644346795E-2</v>
      </c>
      <c r="L104" s="22" t="e">
        <f>(+F104-#REF!)/#REF!</f>
        <v>#REF!</v>
      </c>
    </row>
    <row r="105" spans="1:12" x14ac:dyDescent="0.25">
      <c r="A105" s="316">
        <v>62</v>
      </c>
      <c r="B105" s="172" t="s">
        <v>54</v>
      </c>
      <c r="C105" s="172"/>
      <c r="D105" s="180">
        <v>30739638</v>
      </c>
      <c r="E105" s="180"/>
      <c r="F105" s="341">
        <v>30990847</v>
      </c>
      <c r="G105" s="184"/>
      <c r="H105" s="176">
        <f t="shared" si="6"/>
        <v>8.1721521899509684E-3</v>
      </c>
      <c r="I105" s="177"/>
      <c r="J105" s="178">
        <f t="shared" si="7"/>
        <v>5.3514519206900583E-2</v>
      </c>
      <c r="L105" s="22" t="e">
        <f>(+F105-#REF!)/#REF!</f>
        <v>#REF!</v>
      </c>
    </row>
    <row r="106" spans="1:12" x14ac:dyDescent="0.25">
      <c r="A106" s="316">
        <v>63</v>
      </c>
      <c r="B106" s="172" t="s">
        <v>68</v>
      </c>
      <c r="C106" s="172"/>
      <c r="D106" s="180">
        <v>2302672</v>
      </c>
      <c r="E106" s="180"/>
      <c r="F106" s="341">
        <v>2423414</v>
      </c>
      <c r="G106" s="184"/>
      <c r="H106" s="176">
        <f t="shared" si="6"/>
        <v>5.2435605244689647E-2</v>
      </c>
      <c r="I106" s="177"/>
      <c r="J106" s="178">
        <f t="shared" si="7"/>
        <v>4.184714120568301E-3</v>
      </c>
      <c r="L106" s="22" t="e">
        <f>(+F106-#REF!)/#REF!</f>
        <v>#REF!</v>
      </c>
    </row>
    <row r="107" spans="1:12" x14ac:dyDescent="0.25">
      <c r="A107" s="316">
        <v>64</v>
      </c>
      <c r="B107" s="172" t="s">
        <v>56</v>
      </c>
      <c r="C107" s="172"/>
      <c r="D107" s="180">
        <v>3481738</v>
      </c>
      <c r="E107" s="180"/>
      <c r="F107" s="341">
        <v>3484158</v>
      </c>
      <c r="G107" s="184"/>
      <c r="H107" s="176">
        <f t="shared" si="6"/>
        <v>6.9505517072220827E-4</v>
      </c>
      <c r="I107" s="177"/>
      <c r="J107" s="178">
        <f t="shared" si="7"/>
        <v>6.0163905881912916E-3</v>
      </c>
      <c r="L107" s="22" t="e">
        <f>(+F107-#REF!)/#REF!</f>
        <v>#REF!</v>
      </c>
    </row>
    <row r="108" spans="1:12" x14ac:dyDescent="0.25">
      <c r="A108" s="316">
        <v>65</v>
      </c>
      <c r="B108" s="172" t="s">
        <v>57</v>
      </c>
      <c r="C108" s="172"/>
      <c r="D108" s="180">
        <v>210000</v>
      </c>
      <c r="E108" s="180"/>
      <c r="F108" s="341">
        <v>210000</v>
      </c>
      <c r="G108" s="184"/>
      <c r="H108" s="176">
        <f t="shared" si="6"/>
        <v>0</v>
      </c>
      <c r="I108" s="177"/>
      <c r="J108" s="178">
        <f t="shared" si="7"/>
        <v>3.6262477864671213E-4</v>
      </c>
      <c r="L108" s="22" t="e">
        <f>(+F108-#REF!)/#REF!</f>
        <v>#REF!</v>
      </c>
    </row>
    <row r="109" spans="1:12" x14ac:dyDescent="0.25">
      <c r="A109" s="316">
        <v>66</v>
      </c>
      <c r="B109" s="189" t="s">
        <v>81</v>
      </c>
      <c r="C109" s="190"/>
      <c r="D109" s="183">
        <f>SUM(D104:D108)</f>
        <v>44310942</v>
      </c>
      <c r="E109" s="184"/>
      <c r="F109" s="342">
        <f>SUM(F104:F108)</f>
        <v>44933000</v>
      </c>
      <c r="G109" s="184"/>
      <c r="H109" s="185">
        <f t="shared" si="6"/>
        <v>1.4038473837906674E-2</v>
      </c>
      <c r="I109" s="177"/>
      <c r="J109" s="186">
        <f t="shared" si="7"/>
        <v>7.7589615137774834E-2</v>
      </c>
      <c r="L109" s="22" t="e">
        <f>(+F109-#REF!)/#REF!</f>
        <v>#REF!</v>
      </c>
    </row>
    <row r="110" spans="1:12" x14ac:dyDescent="0.25">
      <c r="B110" s="172"/>
      <c r="C110" s="172"/>
      <c r="D110" s="167"/>
      <c r="E110" s="167"/>
      <c r="F110" s="340"/>
      <c r="G110" s="168"/>
      <c r="H110" s="176"/>
      <c r="I110" s="177"/>
      <c r="J110" s="178"/>
      <c r="L110" s="22"/>
    </row>
    <row r="111" spans="1:12" hidden="1" x14ac:dyDescent="0.25">
      <c r="B111" s="394" t="s">
        <v>0</v>
      </c>
      <c r="C111" s="394"/>
      <c r="D111" s="394"/>
      <c r="E111" s="394"/>
      <c r="F111" s="394"/>
      <c r="G111" s="394"/>
      <c r="H111" s="394"/>
      <c r="I111" s="394"/>
      <c r="J111" s="394"/>
    </row>
    <row r="112" spans="1:12" hidden="1" x14ac:dyDescent="0.25">
      <c r="B112" s="394" t="str">
        <f>+B2</f>
        <v>General Fund</v>
      </c>
      <c r="C112" s="394"/>
      <c r="D112" s="394"/>
      <c r="E112" s="394"/>
      <c r="F112" s="394"/>
      <c r="G112" s="394"/>
      <c r="H112" s="394"/>
      <c r="I112" s="394"/>
      <c r="J112" s="394"/>
    </row>
    <row r="113" spans="1:12" hidden="1" x14ac:dyDescent="0.25">
      <c r="B113" s="391" t="s">
        <v>47</v>
      </c>
      <c r="C113" s="391"/>
      <c r="D113" s="391"/>
      <c r="E113" s="391"/>
      <c r="F113" s="391"/>
      <c r="G113" s="391"/>
      <c r="H113" s="391"/>
      <c r="I113" s="391"/>
      <c r="J113" s="391"/>
    </row>
    <row r="114" spans="1:12" hidden="1" x14ac:dyDescent="0.25">
      <c r="B114" s="391"/>
      <c r="C114" s="391"/>
      <c r="D114" s="391"/>
      <c r="E114" s="391"/>
      <c r="F114" s="391"/>
      <c r="G114" s="391"/>
      <c r="H114" s="391"/>
      <c r="I114" s="391"/>
      <c r="J114" s="391"/>
    </row>
    <row r="115" spans="1:12" hidden="1" x14ac:dyDescent="0.25">
      <c r="B115" s="172"/>
      <c r="C115" s="172"/>
      <c r="D115" s="155" t="str">
        <f>+D5</f>
        <v>General Fund</v>
      </c>
      <c r="E115" s="155"/>
      <c r="F115" s="339" t="str">
        <f>+F5</f>
        <v>General Fund</v>
      </c>
      <c r="G115" s="156"/>
      <c r="H115" s="157" t="s">
        <v>48</v>
      </c>
      <c r="I115" s="158"/>
      <c r="J115" s="159"/>
      <c r="L115" s="24" t="s">
        <v>48</v>
      </c>
    </row>
    <row r="116" spans="1:12" hidden="1" x14ac:dyDescent="0.25">
      <c r="B116" s="172"/>
      <c r="C116" s="172"/>
      <c r="D116" s="155" t="str">
        <f>+D6</f>
        <v>Adopted Budget</v>
      </c>
      <c r="E116" s="334"/>
      <c r="F116" s="339" t="str">
        <f>+F6</f>
        <v>Adopted Budget</v>
      </c>
      <c r="G116" s="161"/>
      <c r="H116" s="157" t="s">
        <v>49</v>
      </c>
      <c r="I116" s="158"/>
      <c r="J116" s="162" t="s">
        <v>48</v>
      </c>
      <c r="L116" s="24" t="s">
        <v>49</v>
      </c>
    </row>
    <row r="117" spans="1:12" hidden="1" x14ac:dyDescent="0.25">
      <c r="A117" s="316" t="s">
        <v>219</v>
      </c>
      <c r="B117" s="172"/>
      <c r="C117" s="172"/>
      <c r="D117" s="199" t="str">
        <f>+D7</f>
        <v>FY 2020-21</v>
      </c>
      <c r="E117" s="161"/>
      <c r="F117" s="347" t="str">
        <f>+F7</f>
        <v>FY 2021-22</v>
      </c>
      <c r="G117" s="161"/>
      <c r="H117" s="164" t="s">
        <v>50</v>
      </c>
      <c r="I117" s="158"/>
      <c r="J117" s="165" t="s">
        <v>51</v>
      </c>
      <c r="L117" s="25" t="s">
        <v>50</v>
      </c>
    </row>
    <row r="118" spans="1:12" x14ac:dyDescent="0.25">
      <c r="B118" s="166" t="s">
        <v>82</v>
      </c>
      <c r="C118" s="172"/>
      <c r="D118" s="167"/>
      <c r="E118" s="167"/>
      <c r="F118" s="340"/>
      <c r="G118" s="168"/>
      <c r="H118" s="176"/>
      <c r="I118" s="177"/>
      <c r="J118" s="178"/>
      <c r="L118" s="22"/>
    </row>
    <row r="119" spans="1:12" x14ac:dyDescent="0.25">
      <c r="A119" s="316">
        <v>67</v>
      </c>
      <c r="B119" s="172" t="s">
        <v>80</v>
      </c>
      <c r="C119" s="172"/>
      <c r="D119" s="180">
        <v>1231935</v>
      </c>
      <c r="E119" s="180"/>
      <c r="F119" s="341">
        <v>1204517.9999999998</v>
      </c>
      <c r="G119" s="184"/>
      <c r="H119" s="176">
        <f>(+F119-D119)/D119</f>
        <v>-2.2255232621851178E-2</v>
      </c>
      <c r="I119" s="177"/>
      <c r="J119" s="178">
        <f t="shared" ref="J119:J124" si="8">+F119/F$167</f>
        <v>2.0799432053618112E-3</v>
      </c>
      <c r="L119" s="22" t="e">
        <f>(+F119-#REF!)/#REF!</f>
        <v>#REF!</v>
      </c>
    </row>
    <row r="120" spans="1:12" x14ac:dyDescent="0.25">
      <c r="A120" s="316">
        <v>68</v>
      </c>
      <c r="B120" s="172" t="s">
        <v>54</v>
      </c>
      <c r="C120" s="172"/>
      <c r="D120" s="180">
        <v>2184500</v>
      </c>
      <c r="E120" s="180"/>
      <c r="F120" s="341">
        <v>2234350</v>
      </c>
      <c r="G120" s="184"/>
      <c r="H120" s="176">
        <f>(+F120-D120)/D120</f>
        <v>2.2819867246509497E-2</v>
      </c>
      <c r="I120" s="177"/>
      <c r="J120" s="178">
        <f t="shared" si="8"/>
        <v>3.8582413055680059E-3</v>
      </c>
      <c r="L120" s="22" t="e">
        <f>(+F120-#REF!)/#REF!</f>
        <v>#REF!</v>
      </c>
    </row>
    <row r="121" spans="1:12" x14ac:dyDescent="0.25">
      <c r="A121" s="316">
        <v>69</v>
      </c>
      <c r="B121" s="172" t="s">
        <v>68</v>
      </c>
      <c r="C121" s="172"/>
      <c r="D121" s="180">
        <v>63548</v>
      </c>
      <c r="E121" s="180"/>
      <c r="F121" s="341">
        <v>60425</v>
      </c>
      <c r="G121" s="184"/>
      <c r="H121" s="176">
        <f>(+F121-D121)/D121</f>
        <v>-4.9143954176370616E-2</v>
      </c>
      <c r="I121" s="177"/>
      <c r="J121" s="178">
        <f t="shared" si="8"/>
        <v>1.0434096309394085E-4</v>
      </c>
      <c r="L121" s="22" t="e">
        <f>(+F121-#REF!)/#REF!</f>
        <v>#REF!</v>
      </c>
    </row>
    <row r="122" spans="1:12" x14ac:dyDescent="0.25">
      <c r="A122" s="316">
        <v>70</v>
      </c>
      <c r="B122" s="172" t="s">
        <v>56</v>
      </c>
      <c r="C122" s="172"/>
      <c r="D122" s="180">
        <v>13200</v>
      </c>
      <c r="E122" s="180"/>
      <c r="F122" s="341">
        <v>13200</v>
      </c>
      <c r="G122" s="184"/>
      <c r="H122" s="176">
        <f>(+F122-D122)/D122</f>
        <v>0</v>
      </c>
      <c r="I122" s="177"/>
      <c r="J122" s="178">
        <f t="shared" si="8"/>
        <v>2.2793557514936191E-5</v>
      </c>
      <c r="L122" s="22"/>
    </row>
    <row r="123" spans="1:12" hidden="1" x14ac:dyDescent="0.25">
      <c r="A123" s="316">
        <v>71</v>
      </c>
      <c r="B123" s="172" t="s">
        <v>57</v>
      </c>
      <c r="C123" s="172"/>
      <c r="D123" s="269">
        <v>0</v>
      </c>
      <c r="E123" s="269"/>
      <c r="F123" s="341">
        <v>0</v>
      </c>
      <c r="G123" s="184"/>
      <c r="H123" s="176" t="s">
        <v>221</v>
      </c>
      <c r="I123" s="177"/>
      <c r="J123" s="178">
        <f t="shared" si="8"/>
        <v>0</v>
      </c>
      <c r="L123" s="22"/>
    </row>
    <row r="124" spans="1:12" x14ac:dyDescent="0.25">
      <c r="A124" s="316">
        <v>71</v>
      </c>
      <c r="B124" s="189" t="s">
        <v>83</v>
      </c>
      <c r="C124" s="190"/>
      <c r="D124" s="183">
        <f>SUM(D119:D123)</f>
        <v>3493183</v>
      </c>
      <c r="E124" s="184"/>
      <c r="F124" s="342">
        <f>SUM(F119:F123)</f>
        <v>3512493</v>
      </c>
      <c r="G124" s="184"/>
      <c r="H124" s="185">
        <f>(+F124-D124)/D124</f>
        <v>5.5279096457299835E-3</v>
      </c>
      <c r="I124" s="177"/>
      <c r="J124" s="186">
        <f t="shared" si="8"/>
        <v>6.065319031538694E-3</v>
      </c>
      <c r="L124" s="22" t="e">
        <f>(+F124-#REF!)/#REF!</f>
        <v>#REF!</v>
      </c>
    </row>
    <row r="125" spans="1:12" x14ac:dyDescent="0.25">
      <c r="B125" s="172"/>
      <c r="C125" s="190"/>
      <c r="D125" s="188"/>
      <c r="E125" s="188"/>
      <c r="F125" s="340"/>
      <c r="G125" s="200"/>
      <c r="H125" s="176"/>
      <c r="I125" s="177"/>
      <c r="J125" s="178"/>
      <c r="L125" s="22"/>
    </row>
    <row r="126" spans="1:12" x14ac:dyDescent="0.25">
      <c r="B126" s="166" t="s">
        <v>84</v>
      </c>
      <c r="C126" s="190"/>
      <c r="D126" s="188"/>
      <c r="E126" s="188"/>
      <c r="F126" s="340"/>
      <c r="G126" s="200"/>
      <c r="H126" s="176"/>
      <c r="I126" s="177"/>
      <c r="J126" s="178"/>
      <c r="L126" s="22"/>
    </row>
    <row r="127" spans="1:12" x14ac:dyDescent="0.25">
      <c r="A127" s="316">
        <v>72</v>
      </c>
      <c r="B127" s="172" t="s">
        <v>80</v>
      </c>
      <c r="C127" s="190"/>
      <c r="D127" s="180">
        <v>8187690</v>
      </c>
      <c r="E127" s="180"/>
      <c r="F127" s="341">
        <v>7967247.0000000019</v>
      </c>
      <c r="G127" s="184"/>
      <c r="H127" s="176">
        <f>(+F127-D127)/D127</f>
        <v>-2.6923711083345625E-2</v>
      </c>
      <c r="I127" s="177"/>
      <c r="J127" s="178">
        <f t="shared" ref="J127:J132" si="9">+F127/F$167</f>
        <v>1.3757719903803247E-2</v>
      </c>
      <c r="L127" s="22" t="e">
        <f>(+F127-#REF!)/#REF!</f>
        <v>#REF!</v>
      </c>
    </row>
    <row r="128" spans="1:12" x14ac:dyDescent="0.25">
      <c r="A128" s="316">
        <v>73</v>
      </c>
      <c r="B128" s="172" t="s">
        <v>54</v>
      </c>
      <c r="C128" s="190"/>
      <c r="D128" s="180">
        <v>4317296</v>
      </c>
      <c r="E128" s="180"/>
      <c r="F128" s="341">
        <v>4492936</v>
      </c>
      <c r="G128" s="184"/>
      <c r="H128" s="176">
        <f>(+F128-D128)/D128</f>
        <v>4.0682871871652995E-2</v>
      </c>
      <c r="I128" s="177"/>
      <c r="J128" s="178">
        <f t="shared" si="9"/>
        <v>7.758332964161163E-3</v>
      </c>
      <c r="L128" s="22" t="e">
        <f>(+F128-#REF!)/#REF!</f>
        <v>#REF!</v>
      </c>
    </row>
    <row r="129" spans="1:12" x14ac:dyDescent="0.25">
      <c r="A129" s="316">
        <v>74</v>
      </c>
      <c r="B129" s="172" t="s">
        <v>68</v>
      </c>
      <c r="C129" s="190"/>
      <c r="D129" s="180">
        <v>268050</v>
      </c>
      <c r="E129" s="180"/>
      <c r="F129" s="341">
        <v>265050</v>
      </c>
      <c r="G129" s="184"/>
      <c r="H129" s="176">
        <f>(+F129-D129)/D129</f>
        <v>-1.119194180190263E-2</v>
      </c>
      <c r="I129" s="177"/>
      <c r="J129" s="178">
        <f t="shared" si="9"/>
        <v>4.5768427419195736E-4</v>
      </c>
      <c r="L129" s="22" t="e">
        <f>(+F129-#REF!)/#REF!</f>
        <v>#REF!</v>
      </c>
    </row>
    <row r="130" spans="1:12" x14ac:dyDescent="0.25">
      <c r="A130" s="316">
        <v>75</v>
      </c>
      <c r="B130" s="172" t="s">
        <v>56</v>
      </c>
      <c r="C130" s="190"/>
      <c r="D130" s="180">
        <v>110198</v>
      </c>
      <c r="E130" s="180"/>
      <c r="F130" s="341">
        <v>110198</v>
      </c>
      <c r="G130" s="184"/>
      <c r="H130" s="176">
        <f>(+F130-D130)/D130</f>
        <v>0</v>
      </c>
      <c r="I130" s="177"/>
      <c r="J130" s="178">
        <f t="shared" si="9"/>
        <v>1.9028821598719229E-4</v>
      </c>
      <c r="L130" s="22" t="e">
        <f>(+F130-#REF!)/#REF!</f>
        <v>#REF!</v>
      </c>
    </row>
    <row r="131" spans="1:12" hidden="1" x14ac:dyDescent="0.25">
      <c r="B131" s="172" t="s">
        <v>57</v>
      </c>
      <c r="C131" s="190"/>
      <c r="D131" s="180">
        <v>0</v>
      </c>
      <c r="E131" s="180"/>
      <c r="F131" s="341">
        <v>0</v>
      </c>
      <c r="G131" s="184"/>
      <c r="H131" s="176">
        <v>0</v>
      </c>
      <c r="I131" s="177"/>
      <c r="J131" s="178">
        <f t="shared" si="9"/>
        <v>0</v>
      </c>
      <c r="L131" s="22" t="e">
        <f>(+F131-#REF!)/#REF!</f>
        <v>#REF!</v>
      </c>
    </row>
    <row r="132" spans="1:12" x14ac:dyDescent="0.25">
      <c r="A132" s="316">
        <v>76</v>
      </c>
      <c r="B132" s="189" t="s">
        <v>85</v>
      </c>
      <c r="C132" s="190"/>
      <c r="D132" s="183">
        <f>SUM(D127:D131)</f>
        <v>12883234</v>
      </c>
      <c r="E132" s="184"/>
      <c r="F132" s="342">
        <f>SUM(F127:F131)</f>
        <v>12835431.000000002</v>
      </c>
      <c r="G132" s="184"/>
      <c r="H132" s="185">
        <f>(+F132-D132)/D132</f>
        <v>-3.7104813899986708E-3</v>
      </c>
      <c r="I132" s="177"/>
      <c r="J132" s="186">
        <f t="shared" si="9"/>
        <v>2.216402535814356E-2</v>
      </c>
      <c r="L132" s="22" t="e">
        <f>(+F132-#REF!)/#REF!</f>
        <v>#REF!</v>
      </c>
    </row>
    <row r="133" spans="1:12" x14ac:dyDescent="0.25">
      <c r="B133" s="172"/>
      <c r="C133" s="190"/>
      <c r="D133" s="188"/>
      <c r="E133" s="188"/>
      <c r="F133" s="340"/>
      <c r="G133" s="200"/>
      <c r="H133" s="176"/>
      <c r="I133" s="177"/>
      <c r="J133" s="178"/>
      <c r="L133" s="22"/>
    </row>
    <row r="134" spans="1:12" x14ac:dyDescent="0.25">
      <c r="B134" s="166" t="s">
        <v>86</v>
      </c>
      <c r="C134" s="190"/>
      <c r="D134" s="188"/>
      <c r="E134" s="188"/>
      <c r="F134" s="340"/>
      <c r="G134" s="200"/>
      <c r="H134" s="176"/>
      <c r="I134" s="177"/>
      <c r="J134" s="178"/>
      <c r="L134" s="22"/>
    </row>
    <row r="135" spans="1:12" x14ac:dyDescent="0.25">
      <c r="A135" s="316">
        <v>77</v>
      </c>
      <c r="B135" s="172" t="s">
        <v>80</v>
      </c>
      <c r="C135" s="190"/>
      <c r="D135" s="180">
        <v>8234031</v>
      </c>
      <c r="E135" s="180"/>
      <c r="F135" s="341">
        <v>5239097.0000000009</v>
      </c>
      <c r="G135" s="184"/>
      <c r="H135" s="176">
        <f>(+F135-D135)/D135</f>
        <v>-0.36372634497003947</v>
      </c>
      <c r="I135" s="177"/>
      <c r="J135" s="178">
        <f>+F135/F$167</f>
        <v>9.0467923330173998E-3</v>
      </c>
      <c r="L135" s="22" t="e">
        <f>(+F135-#REF!)/#REF!</f>
        <v>#REF!</v>
      </c>
    </row>
    <row r="136" spans="1:12" x14ac:dyDescent="0.25">
      <c r="A136" s="316">
        <v>78</v>
      </c>
      <c r="B136" s="172" t="s">
        <v>54</v>
      </c>
      <c r="C136" s="190"/>
      <c r="D136" s="180">
        <v>562369</v>
      </c>
      <c r="E136" s="180"/>
      <c r="F136" s="341">
        <v>689869</v>
      </c>
      <c r="G136" s="184"/>
      <c r="H136" s="176">
        <f>(+F136-D136)/D136</f>
        <v>0.22671946711145174</v>
      </c>
      <c r="I136" s="177"/>
      <c r="J136" s="178">
        <f>+F136/F$167</f>
        <v>1.1912552067629937E-3</v>
      </c>
      <c r="L136" s="22" t="e">
        <f>(+F136-#REF!)/#REF!</f>
        <v>#REF!</v>
      </c>
    </row>
    <row r="137" spans="1:12" x14ac:dyDescent="0.25">
      <c r="A137" s="316">
        <v>79</v>
      </c>
      <c r="B137" s="172" t="s">
        <v>68</v>
      </c>
      <c r="C137" s="190"/>
      <c r="D137" s="180">
        <v>134500</v>
      </c>
      <c r="E137" s="180"/>
      <c r="F137" s="341">
        <v>134150</v>
      </c>
      <c r="G137" s="184"/>
      <c r="H137" s="176">
        <f>(+F137-D137)/D137</f>
        <v>-2.6022304832713753E-3</v>
      </c>
      <c r="I137" s="177"/>
      <c r="J137" s="178">
        <f>+F137/F$167</f>
        <v>2.3164816216884014E-4</v>
      </c>
      <c r="L137" s="22" t="e">
        <f>(+F137-#REF!)/#REF!</f>
        <v>#REF!</v>
      </c>
    </row>
    <row r="138" spans="1:12" x14ac:dyDescent="0.25">
      <c r="A138" s="316">
        <v>80</v>
      </c>
      <c r="B138" s="172" t="s">
        <v>56</v>
      </c>
      <c r="C138" s="190"/>
      <c r="D138" s="180">
        <v>634400</v>
      </c>
      <c r="E138" s="180"/>
      <c r="F138" s="341">
        <v>640800</v>
      </c>
      <c r="G138" s="184"/>
      <c r="H138" s="176">
        <f>(+F138-D138)/D138</f>
        <v>1.0088272383354351E-2</v>
      </c>
      <c r="I138" s="177"/>
      <c r="J138" s="178">
        <f>+F138/F$167</f>
        <v>1.1065236102705386E-3</v>
      </c>
      <c r="L138" s="22" t="e">
        <f>(+F138-#REF!)/#REF!</f>
        <v>#REF!</v>
      </c>
    </row>
    <row r="139" spans="1:12" x14ac:dyDescent="0.25">
      <c r="A139" s="316">
        <v>81</v>
      </c>
      <c r="B139" s="189" t="s">
        <v>87</v>
      </c>
      <c r="C139" s="190"/>
      <c r="D139" s="183">
        <f>SUM(D135:D138)</f>
        <v>9565300</v>
      </c>
      <c r="E139" s="184"/>
      <c r="F139" s="342">
        <f>SUM(F135:F138)</f>
        <v>6703916.0000000009</v>
      </c>
      <c r="G139" s="184"/>
      <c r="H139" s="185">
        <f>(+F139-D139)/D139</f>
        <v>-0.29914210740907227</v>
      </c>
      <c r="I139" s="177"/>
      <c r="J139" s="186">
        <f>+F139/F$167</f>
        <v>1.1576219312219771E-2</v>
      </c>
      <c r="L139" s="22" t="e">
        <f>(+F139-#REF!)/#REF!</f>
        <v>#REF!</v>
      </c>
    </row>
    <row r="140" spans="1:12" hidden="1" x14ac:dyDescent="0.25">
      <c r="B140" s="189"/>
      <c r="C140" s="190"/>
      <c r="D140" s="184"/>
      <c r="E140" s="184"/>
      <c r="F140" s="343"/>
      <c r="G140" s="184"/>
      <c r="H140" s="177"/>
      <c r="I140" s="177"/>
      <c r="J140" s="187"/>
      <c r="L140" s="22"/>
    </row>
    <row r="141" spans="1:12" hidden="1" x14ac:dyDescent="0.25">
      <c r="B141" s="166" t="s">
        <v>158</v>
      </c>
      <c r="C141" s="190"/>
      <c r="D141" s="180"/>
      <c r="E141" s="180"/>
      <c r="F141" s="341"/>
      <c r="G141" s="184"/>
      <c r="H141" s="176"/>
      <c r="I141" s="177"/>
      <c r="J141" s="205"/>
      <c r="L141" s="22"/>
    </row>
    <row r="142" spans="1:12" hidden="1" x14ac:dyDescent="0.25">
      <c r="B142" s="172" t="s">
        <v>53</v>
      </c>
      <c r="C142" s="190"/>
      <c r="D142" s="180">
        <v>0</v>
      </c>
      <c r="E142" s="180"/>
      <c r="F142" s="341">
        <v>0</v>
      </c>
      <c r="G142" s="184"/>
      <c r="H142" s="176" t="e">
        <f>(+F142-D142)/D142</f>
        <v>#DIV/0!</v>
      </c>
      <c r="I142" s="177"/>
      <c r="J142" s="178">
        <f>+F142/F$167</f>
        <v>0</v>
      </c>
      <c r="L142" s="22" t="e">
        <f>(+F142-#REF!)/#REF!</f>
        <v>#REF!</v>
      </c>
    </row>
    <row r="143" spans="1:12" hidden="1" x14ac:dyDescent="0.25">
      <c r="B143" s="172" t="s">
        <v>159</v>
      </c>
      <c r="C143" s="190"/>
      <c r="D143" s="269">
        <v>0</v>
      </c>
      <c r="E143" s="180"/>
      <c r="F143" s="341">
        <v>0</v>
      </c>
      <c r="G143" s="184"/>
      <c r="H143" s="176">
        <v>0</v>
      </c>
      <c r="I143" s="177"/>
      <c r="J143" s="178">
        <f>+F143/F$167</f>
        <v>0</v>
      </c>
      <c r="L143" s="22" t="e">
        <f>(+F143-#REF!)/#REF!</f>
        <v>#REF!</v>
      </c>
    </row>
    <row r="144" spans="1:12" hidden="1" x14ac:dyDescent="0.25">
      <c r="B144" s="189" t="s">
        <v>164</v>
      </c>
      <c r="C144" s="190"/>
      <c r="D144" s="270">
        <f>SUM(D142:D143)</f>
        <v>0</v>
      </c>
      <c r="E144" s="184"/>
      <c r="F144" s="342">
        <f>SUM(F142:F143)</f>
        <v>0</v>
      </c>
      <c r="G144" s="184"/>
      <c r="H144" s="185">
        <v>0</v>
      </c>
      <c r="I144" s="177"/>
      <c r="J144" s="186">
        <f>+F144/F$167</f>
        <v>0</v>
      </c>
      <c r="L144" s="22" t="e">
        <f>(+F144-#REF!)/#REF!</f>
        <v>#REF!</v>
      </c>
    </row>
    <row r="145" spans="1:12" x14ac:dyDescent="0.25">
      <c r="B145" s="189"/>
      <c r="C145" s="190"/>
      <c r="D145" s="184"/>
      <c r="E145" s="184"/>
      <c r="F145" s="343"/>
      <c r="G145" s="184"/>
      <c r="H145" s="177"/>
      <c r="I145" s="177"/>
      <c r="J145" s="187"/>
      <c r="L145" s="22"/>
    </row>
    <row r="146" spans="1:12" x14ac:dyDescent="0.25">
      <c r="B146" s="166" t="s">
        <v>228</v>
      </c>
      <c r="C146" s="190"/>
      <c r="D146" s="188"/>
      <c r="E146" s="188"/>
      <c r="F146" s="340"/>
      <c r="G146" s="200"/>
      <c r="H146" s="176"/>
      <c r="I146" s="177"/>
      <c r="J146" s="197"/>
      <c r="L146" s="22"/>
    </row>
    <row r="147" spans="1:12" x14ac:dyDescent="0.25">
      <c r="A147" s="316">
        <v>82</v>
      </c>
      <c r="B147" s="172" t="s">
        <v>54</v>
      </c>
      <c r="C147" s="190"/>
      <c r="D147" s="184">
        <v>32444332</v>
      </c>
      <c r="E147" s="184"/>
      <c r="F147" s="343">
        <v>57404687</v>
      </c>
      <c r="G147" s="184"/>
      <c r="H147" s="176">
        <f>(+F147-D147)/D147</f>
        <v>0.76932867657746817</v>
      </c>
      <c r="I147" s="177"/>
      <c r="J147" s="178">
        <f>+F147/F$167</f>
        <v>9.9125532936470445E-2</v>
      </c>
      <c r="L147" s="22"/>
    </row>
    <row r="148" spans="1:12" x14ac:dyDescent="0.25">
      <c r="A148" s="316">
        <v>83</v>
      </c>
      <c r="B148" s="189" t="s">
        <v>175</v>
      </c>
      <c r="C148" s="190"/>
      <c r="D148" s="183">
        <f>SUM(D146:D147)</f>
        <v>32444332</v>
      </c>
      <c r="E148" s="184"/>
      <c r="F148" s="342">
        <f>SUM(F146:F147)</f>
        <v>57404687</v>
      </c>
      <c r="G148" s="184"/>
      <c r="H148" s="185">
        <f>SUM(H147)</f>
        <v>0.76932867657746817</v>
      </c>
      <c r="I148" s="177"/>
      <c r="J148" s="186">
        <f>+F148/F$167</f>
        <v>9.9125532936470445E-2</v>
      </c>
      <c r="L148" s="22" t="e">
        <f>(+F148-#REF!)/#REF!</f>
        <v>#REF!</v>
      </c>
    </row>
    <row r="149" spans="1:12" x14ac:dyDescent="0.25">
      <c r="B149" s="172"/>
      <c r="C149" s="190"/>
      <c r="D149" s="188"/>
      <c r="E149" s="188"/>
      <c r="F149" s="340"/>
      <c r="G149" s="200"/>
      <c r="H149" s="176"/>
      <c r="I149" s="177"/>
      <c r="J149" s="178"/>
      <c r="L149" s="22"/>
    </row>
    <row r="150" spans="1:12" hidden="1" x14ac:dyDescent="0.25">
      <c r="B150" s="166" t="s">
        <v>154</v>
      </c>
      <c r="C150" s="190"/>
      <c r="D150" s="180"/>
      <c r="E150" s="180"/>
      <c r="F150" s="341"/>
      <c r="G150" s="184"/>
      <c r="H150" s="176"/>
      <c r="I150" s="177"/>
      <c r="J150" s="205"/>
      <c r="L150" s="22"/>
    </row>
    <row r="151" spans="1:12" hidden="1" x14ac:dyDescent="0.25">
      <c r="B151" s="172" t="s">
        <v>53</v>
      </c>
      <c r="C151" s="190"/>
      <c r="D151" s="180">
        <v>0</v>
      </c>
      <c r="E151" s="180"/>
      <c r="F151" s="341">
        <v>0</v>
      </c>
      <c r="G151" s="184"/>
      <c r="H151" s="176" t="e">
        <f>(+F151-D151)/D151</f>
        <v>#DIV/0!</v>
      </c>
      <c r="I151" s="177"/>
      <c r="J151" s="178">
        <f>+F151/F$167</f>
        <v>0</v>
      </c>
      <c r="L151" s="22" t="e">
        <f>(+F151-#REF!)/#REF!</f>
        <v>#REF!</v>
      </c>
    </row>
    <row r="152" spans="1:12" hidden="1" x14ac:dyDescent="0.25">
      <c r="B152" s="172" t="s">
        <v>57</v>
      </c>
      <c r="C152" s="190"/>
      <c r="D152" s="180">
        <v>0</v>
      </c>
      <c r="E152" s="180"/>
      <c r="F152" s="341">
        <v>0</v>
      </c>
      <c r="G152" s="184"/>
      <c r="H152" s="176">
        <v>0</v>
      </c>
      <c r="I152" s="177"/>
      <c r="J152" s="178">
        <f>+F152/F$167</f>
        <v>0</v>
      </c>
      <c r="L152" s="22" t="e">
        <f>(+F152-#REF!)/#REF!</f>
        <v>#REF!</v>
      </c>
    </row>
    <row r="153" spans="1:12" hidden="1" x14ac:dyDescent="0.25">
      <c r="B153" s="189" t="s">
        <v>88</v>
      </c>
      <c r="C153" s="190"/>
      <c r="D153" s="183">
        <f>SUM(D151:D152)</f>
        <v>0</v>
      </c>
      <c r="E153" s="184"/>
      <c r="F153" s="342">
        <f>SUM(F151:F152)</f>
        <v>0</v>
      </c>
      <c r="G153" s="184"/>
      <c r="H153" s="185" t="e">
        <f>(+F153-D153)/D153</f>
        <v>#DIV/0!</v>
      </c>
      <c r="I153" s="177"/>
      <c r="J153" s="186">
        <f>+F153/F$167</f>
        <v>0</v>
      </c>
      <c r="L153" s="22" t="e">
        <f>(+F153-#REF!)/#REF!</f>
        <v>#REF!</v>
      </c>
    </row>
    <row r="154" spans="1:12" hidden="1" x14ac:dyDescent="0.25">
      <c r="B154" s="189"/>
      <c r="C154" s="190"/>
      <c r="D154" s="184"/>
      <c r="E154" s="184"/>
      <c r="F154" s="343"/>
      <c r="G154" s="184"/>
      <c r="H154" s="177"/>
      <c r="I154" s="177"/>
      <c r="J154" s="187"/>
      <c r="L154" s="23"/>
    </row>
    <row r="155" spans="1:12" x14ac:dyDescent="0.25">
      <c r="B155" s="166" t="s">
        <v>89</v>
      </c>
      <c r="C155" s="190"/>
      <c r="D155" s="188"/>
      <c r="E155" s="188"/>
      <c r="F155" s="340"/>
      <c r="G155" s="200"/>
      <c r="H155" s="176"/>
      <c r="I155" s="177"/>
      <c r="J155" s="197"/>
      <c r="L155" s="22"/>
    </row>
    <row r="156" spans="1:12" x14ac:dyDescent="0.25">
      <c r="A156" s="316">
        <v>84</v>
      </c>
      <c r="B156" s="172" t="s">
        <v>90</v>
      </c>
      <c r="C156" s="190"/>
      <c r="D156" s="180">
        <v>210000</v>
      </c>
      <c r="E156" s="180"/>
      <c r="F156" s="341">
        <v>210000</v>
      </c>
      <c r="G156" s="184"/>
      <c r="H156" s="176">
        <f>(+F156-D156)/D156</f>
        <v>0</v>
      </c>
      <c r="I156" s="177"/>
      <c r="J156" s="178">
        <f>+F156/F$167</f>
        <v>3.6262477864671213E-4</v>
      </c>
      <c r="L156" s="22" t="e">
        <f>(+F156-#REF!)/#REF!</f>
        <v>#REF!</v>
      </c>
    </row>
    <row r="157" spans="1:12" x14ac:dyDescent="0.25">
      <c r="A157" s="316">
        <v>85</v>
      </c>
      <c r="B157" s="189" t="s">
        <v>91</v>
      </c>
      <c r="C157" s="190"/>
      <c r="D157" s="183">
        <f>SUM(D156)</f>
        <v>210000</v>
      </c>
      <c r="E157" s="184"/>
      <c r="F157" s="342">
        <f>SUM(F156)</f>
        <v>210000</v>
      </c>
      <c r="G157" s="184"/>
      <c r="H157" s="185">
        <f>(+F157-D157)/D157</f>
        <v>0</v>
      </c>
      <c r="I157" s="177"/>
      <c r="J157" s="186">
        <f>+F157/F$167</f>
        <v>3.6262477864671213E-4</v>
      </c>
      <c r="L157" s="22" t="e">
        <f>(+F157-#REF!)/#REF!</f>
        <v>#REF!</v>
      </c>
    </row>
    <row r="158" spans="1:12" x14ac:dyDescent="0.25">
      <c r="B158" s="172"/>
      <c r="C158" s="190"/>
      <c r="D158" s="188"/>
      <c r="E158" s="188"/>
      <c r="F158" s="340"/>
      <c r="G158" s="200"/>
      <c r="H158" s="176"/>
      <c r="I158" s="177"/>
      <c r="J158" s="197"/>
      <c r="L158" s="22"/>
    </row>
    <row r="159" spans="1:12" x14ac:dyDescent="0.25">
      <c r="B159" s="166" t="s">
        <v>202</v>
      </c>
      <c r="C159" s="189"/>
      <c r="D159" s="188"/>
      <c r="E159" s="188"/>
      <c r="F159" s="340"/>
      <c r="G159" s="200"/>
      <c r="H159" s="176"/>
      <c r="I159" s="177"/>
      <c r="J159" s="197"/>
      <c r="L159" s="22"/>
    </row>
    <row r="160" spans="1:12" x14ac:dyDescent="0.25">
      <c r="A160" s="316">
        <v>86</v>
      </c>
      <c r="B160" s="172" t="s">
        <v>54</v>
      </c>
      <c r="C160" s="190"/>
      <c r="D160" s="180">
        <v>200000</v>
      </c>
      <c r="E160" s="180"/>
      <c r="F160" s="341">
        <v>200000</v>
      </c>
      <c r="G160" s="184"/>
      <c r="H160" s="176">
        <f>(+F160-D160)/D160</f>
        <v>0</v>
      </c>
      <c r="I160" s="177"/>
      <c r="J160" s="178">
        <f>+F160/F$167</f>
        <v>3.4535693204448776E-4</v>
      </c>
      <c r="L160" s="22" t="e">
        <f>(+F160-#REF!)/#REF!</f>
        <v>#REF!</v>
      </c>
    </row>
    <row r="161" spans="1:12" x14ac:dyDescent="0.25">
      <c r="A161" s="316">
        <v>87</v>
      </c>
      <c r="B161" s="189" t="s">
        <v>92</v>
      </c>
      <c r="C161" s="189"/>
      <c r="D161" s="183">
        <f>SUM(D160)</f>
        <v>200000</v>
      </c>
      <c r="E161" s="184"/>
      <c r="F161" s="342">
        <f>SUM(F160)</f>
        <v>200000</v>
      </c>
      <c r="G161" s="184"/>
      <c r="H161" s="185">
        <f>(+F161-D161)/D161</f>
        <v>0</v>
      </c>
      <c r="I161" s="177"/>
      <c r="J161" s="186">
        <f>+F161/F$167</f>
        <v>3.4535693204448776E-4</v>
      </c>
      <c r="L161" s="22" t="e">
        <f>(+F161-#REF!)/#REF!</f>
        <v>#REF!</v>
      </c>
    </row>
    <row r="162" spans="1:12" x14ac:dyDescent="0.25">
      <c r="B162" s="172"/>
      <c r="C162" s="190"/>
      <c r="D162" s="180"/>
      <c r="E162" s="180"/>
      <c r="F162" s="341"/>
      <c r="G162" s="206"/>
      <c r="H162" s="176"/>
      <c r="I162" s="177"/>
      <c r="J162" s="178"/>
      <c r="L162" s="22"/>
    </row>
    <row r="163" spans="1:12" x14ac:dyDescent="0.25">
      <c r="B163" s="166" t="s">
        <v>93</v>
      </c>
      <c r="C163" s="189"/>
      <c r="D163" s="188"/>
      <c r="E163" s="188"/>
      <c r="F163" s="340"/>
      <c r="G163" s="200"/>
      <c r="H163" s="176"/>
      <c r="I163" s="177"/>
      <c r="J163" s="197"/>
      <c r="L163" s="22"/>
    </row>
    <row r="164" spans="1:12" x14ac:dyDescent="0.25">
      <c r="A164" s="316">
        <v>88</v>
      </c>
      <c r="B164" s="172" t="s">
        <v>54</v>
      </c>
      <c r="C164" s="190"/>
      <c r="D164" s="180">
        <v>3850000</v>
      </c>
      <c r="E164" s="180"/>
      <c r="F164" s="341">
        <v>4100000</v>
      </c>
      <c r="G164" s="184"/>
      <c r="H164" s="176">
        <f>(+F164-D164)/D164</f>
        <v>6.4935064935064929E-2</v>
      </c>
      <c r="I164" s="177"/>
      <c r="J164" s="178">
        <f>+F164/F$167</f>
        <v>7.0798171069119988E-3</v>
      </c>
      <c r="L164" s="22" t="e">
        <f>(+F164-#REF!)/#REF!</f>
        <v>#REF!</v>
      </c>
    </row>
    <row r="165" spans="1:12" x14ac:dyDescent="0.25">
      <c r="A165" s="316">
        <v>89</v>
      </c>
      <c r="B165" s="189" t="s">
        <v>94</v>
      </c>
      <c r="C165" s="189"/>
      <c r="D165" s="183">
        <f>SUM(D164)</f>
        <v>3850000</v>
      </c>
      <c r="E165" s="184"/>
      <c r="F165" s="342">
        <f>SUM(F164)</f>
        <v>4100000</v>
      </c>
      <c r="G165" s="184"/>
      <c r="H165" s="185">
        <f>(+F165-D165)/D165</f>
        <v>6.4935064935064929E-2</v>
      </c>
      <c r="I165" s="177"/>
      <c r="J165" s="186">
        <f>+F165/F$167</f>
        <v>7.0798171069119988E-3</v>
      </c>
      <c r="L165" s="22" t="e">
        <f>(+F165-#REF!)/#REF!</f>
        <v>#REF!</v>
      </c>
    </row>
    <row r="166" spans="1:12" x14ac:dyDescent="0.25">
      <c r="B166" s="172"/>
      <c r="C166" s="190"/>
      <c r="D166" s="180"/>
      <c r="E166" s="180"/>
      <c r="F166" s="341"/>
      <c r="G166" s="206"/>
      <c r="H166" s="176"/>
      <c r="I166" s="177"/>
      <c r="J166" s="178"/>
      <c r="L166" s="22"/>
    </row>
    <row r="167" spans="1:12" ht="15.75" thickBot="1" x14ac:dyDescent="0.3">
      <c r="A167" s="316">
        <v>90</v>
      </c>
      <c r="B167" s="189" t="s">
        <v>95</v>
      </c>
      <c r="C167" s="190"/>
      <c r="D167" s="207">
        <f>D14+D21+D28+D35+D42+D49+D63+D70+D77+D85+D93+D101+D109+D124+D132+D139+D144+D148+D157+D161+D165</f>
        <v>543060739.00000012</v>
      </c>
      <c r="E167" s="208"/>
      <c r="F167" s="207">
        <f>F14+F21+F28+F35+F42+F49+F63+F70+F77+F85+F93+F101+F109+F124+F132+F139+F144+F148+F157+F161+F165</f>
        <v>579111005</v>
      </c>
      <c r="G167" s="184"/>
      <c r="H167" s="209">
        <f>(+F167-D167)/D167</f>
        <v>6.6383487906681235E-2</v>
      </c>
      <c r="I167" s="177"/>
      <c r="J167" s="210">
        <f>+F167/F$167</f>
        <v>1</v>
      </c>
      <c r="L167" s="22" t="e">
        <f>(+F167-#REF!)/#REF!</f>
        <v>#REF!</v>
      </c>
    </row>
    <row r="168" spans="1:12" ht="15.75" thickTop="1" x14ac:dyDescent="0.25"/>
  </sheetData>
  <mergeCells count="11">
    <mergeCell ref="B114:J114"/>
    <mergeCell ref="B1:J1"/>
    <mergeCell ref="B2:J2"/>
    <mergeCell ref="B3:J3"/>
    <mergeCell ref="B51:J51"/>
    <mergeCell ref="B52:J52"/>
    <mergeCell ref="B54:J54"/>
    <mergeCell ref="B111:J111"/>
    <mergeCell ref="B112:J112"/>
    <mergeCell ref="B53:J53"/>
    <mergeCell ref="B113:J113"/>
  </mergeCells>
  <printOptions horizontalCentered="1"/>
  <pageMargins left="0.7" right="0.7" top="0.75" bottom="0.75" header="0.3" footer="0.3"/>
  <pageSetup scale="89" firstPageNumber="3" fitToHeight="0" orientation="portrait" r:id="rId1"/>
  <headerFooter differentOddEven="1" differentFirst="1">
    <oddFooter>&amp;C&amp;"Arial,Regular"&amp;10-6-</oddFooter>
    <evenFooter>&amp;C&amp;"Arial,Regular"&amp;10-5-</evenFooter>
    <firstFooter>&amp;C&amp;"Arial,Regular"&amp;10-4-</firstFooter>
  </headerFooter>
  <rowBreaks count="2" manualBreakCount="2">
    <brk id="50" max="16383" man="1"/>
    <brk id="102" max="16383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CC80-0EF7-4F21-AF91-4E2E6788F2C9}">
  <sheetPr>
    <tabColor rgb="FFFF00FF"/>
  </sheetPr>
  <dimension ref="A1:V258"/>
  <sheetViews>
    <sheetView topLeftCell="A125" zoomScaleNormal="100" workbookViewId="0">
      <selection activeCell="E9" sqref="E9"/>
    </sheetView>
  </sheetViews>
  <sheetFormatPr defaultColWidth="15.7109375" defaultRowHeight="15" x14ac:dyDescent="0.25"/>
  <cols>
    <col min="1" max="1" width="32.85546875" style="49" customWidth="1"/>
    <col min="2" max="2" width="1.85546875" style="49" customWidth="1"/>
    <col min="3" max="3" width="17.7109375" style="49" customWidth="1"/>
    <col min="4" max="4" width="1" style="29" customWidth="1"/>
    <col min="5" max="5" width="19" style="29" customWidth="1"/>
    <col min="6" max="6" width="0.85546875" style="36" customWidth="1"/>
    <col min="7" max="7" width="15.7109375" style="49" customWidth="1"/>
    <col min="8" max="8" width="1" style="36" customWidth="1"/>
    <col min="9" max="9" width="0.28515625" style="49" hidden="1" customWidth="1"/>
    <col min="10" max="10" width="12.7109375" style="29" customWidth="1"/>
    <col min="11" max="15" width="15.7109375" style="29"/>
    <col min="16" max="16" width="15.7109375" style="31"/>
    <col min="17" max="17" width="15.7109375" style="67"/>
    <col min="18" max="16384" width="15.7109375" style="49"/>
  </cols>
  <sheetData>
    <row r="1" spans="1:19" x14ac:dyDescent="0.25">
      <c r="A1" s="392" t="s">
        <v>0</v>
      </c>
      <c r="B1" s="392"/>
      <c r="C1" s="392"/>
      <c r="D1" s="392"/>
      <c r="E1" s="392"/>
      <c r="F1" s="392"/>
      <c r="G1" s="392"/>
      <c r="H1" s="392"/>
      <c r="I1" s="392"/>
    </row>
    <row r="2" spans="1:19" x14ac:dyDescent="0.25">
      <c r="A2" s="392" t="s">
        <v>149</v>
      </c>
      <c r="B2" s="392"/>
      <c r="C2" s="392"/>
      <c r="D2" s="392"/>
      <c r="E2" s="392"/>
      <c r="F2" s="392"/>
      <c r="G2" s="392"/>
      <c r="H2" s="392"/>
      <c r="I2" s="392"/>
    </row>
    <row r="3" spans="1:19" x14ac:dyDescent="0.25">
      <c r="A3" s="393" t="s">
        <v>47</v>
      </c>
      <c r="B3" s="393"/>
      <c r="C3" s="393"/>
      <c r="D3" s="393"/>
      <c r="E3" s="393"/>
      <c r="F3" s="393"/>
      <c r="G3" s="393"/>
      <c r="H3" s="393"/>
      <c r="I3" s="393"/>
    </row>
    <row r="4" spans="1:19" ht="15.75" thickBot="1" x14ac:dyDescent="0.3">
      <c r="A4" s="93"/>
      <c r="B4" s="93"/>
      <c r="C4" s="93"/>
      <c r="D4" s="212"/>
      <c r="E4" s="212"/>
      <c r="F4" s="213"/>
      <c r="G4" s="93"/>
      <c r="H4" s="213"/>
      <c r="I4" s="93"/>
      <c r="P4" s="68" t="s">
        <v>178</v>
      </c>
    </row>
    <row r="5" spans="1:19" x14ac:dyDescent="0.25">
      <c r="A5" s="214"/>
      <c r="B5" s="214"/>
      <c r="C5" s="155" t="s">
        <v>149</v>
      </c>
      <c r="D5" s="155"/>
      <c r="E5" s="155" t="s">
        <v>149</v>
      </c>
      <c r="F5" s="156"/>
      <c r="G5" s="157" t="s">
        <v>48</v>
      </c>
      <c r="H5" s="158"/>
      <c r="I5" s="159"/>
      <c r="P5" s="98" t="s">
        <v>179</v>
      </c>
      <c r="Q5" s="101" t="s">
        <v>44</v>
      </c>
    </row>
    <row r="6" spans="1:19" x14ac:dyDescent="0.25">
      <c r="A6" s="214"/>
      <c r="B6" s="214"/>
      <c r="C6" s="285" t="s">
        <v>152</v>
      </c>
      <c r="D6" s="285"/>
      <c r="E6" s="285" t="s">
        <v>208</v>
      </c>
      <c r="F6" s="161"/>
      <c r="G6" s="157" t="s">
        <v>49</v>
      </c>
      <c r="H6" s="158"/>
      <c r="I6" s="162" t="s">
        <v>48</v>
      </c>
      <c r="P6" s="99" t="s">
        <v>180</v>
      </c>
      <c r="Q6" s="102" t="s">
        <v>207</v>
      </c>
    </row>
    <row r="7" spans="1:19" ht="15.75" thickBot="1" x14ac:dyDescent="0.3">
      <c r="A7" s="214"/>
      <c r="B7" s="214"/>
      <c r="C7" s="163" t="s">
        <v>171</v>
      </c>
      <c r="D7" s="161"/>
      <c r="E7" s="163" t="s">
        <v>209</v>
      </c>
      <c r="F7" s="161"/>
      <c r="G7" s="164" t="s">
        <v>50</v>
      </c>
      <c r="H7" s="158"/>
      <c r="I7" s="165" t="s">
        <v>51</v>
      </c>
      <c r="J7" s="301"/>
      <c r="P7" s="100" t="s">
        <v>177</v>
      </c>
      <c r="Q7" s="103" t="s">
        <v>181</v>
      </c>
    </row>
    <row r="8" spans="1:19" x14ac:dyDescent="0.25">
      <c r="A8" s="166" t="s">
        <v>52</v>
      </c>
      <c r="B8" s="214"/>
      <c r="C8" s="167"/>
      <c r="D8" s="167"/>
      <c r="E8" s="167"/>
      <c r="F8" s="168"/>
      <c r="G8" s="169"/>
      <c r="H8" s="170"/>
      <c r="I8" s="171"/>
      <c r="M8" s="299">
        <v>2.5000000000000001E-2</v>
      </c>
      <c r="P8" s="67"/>
    </row>
    <row r="9" spans="1:19" x14ac:dyDescent="0.25">
      <c r="A9" s="172" t="s">
        <v>53</v>
      </c>
      <c r="B9" s="214"/>
      <c r="C9" s="173">
        <v>274024373</v>
      </c>
      <c r="D9" s="174"/>
      <c r="E9" s="173">
        <f>277009542+M14</f>
        <v>282729035</v>
      </c>
      <c r="F9" s="175"/>
      <c r="G9" s="176">
        <f t="shared" ref="G9:G14" si="0">(+E9-C9)/C9</f>
        <v>3.1766013747981464E-2</v>
      </c>
      <c r="H9" s="177"/>
      <c r="I9" s="178">
        <f t="shared" ref="I9:I14" si="1">+E9/E$162</f>
        <v>0.55968011938067375</v>
      </c>
      <c r="P9" s="67">
        <f>7500000-3799834</f>
        <v>3700166</v>
      </c>
      <c r="Q9" s="67">
        <f>231860206+52346932</f>
        <v>284207138</v>
      </c>
      <c r="S9" s="49" t="s">
        <v>214</v>
      </c>
    </row>
    <row r="10" spans="1:19" x14ac:dyDescent="0.25">
      <c r="A10" s="172" t="s">
        <v>54</v>
      </c>
      <c r="B10" s="214"/>
      <c r="C10" s="179">
        <v>1985092</v>
      </c>
      <c r="D10" s="180"/>
      <c r="E10" s="179">
        <v>2318603</v>
      </c>
      <c r="F10" s="181"/>
      <c r="G10" s="176">
        <f t="shared" si="0"/>
        <v>0.16800783036755979</v>
      </c>
      <c r="H10" s="177"/>
      <c r="I10" s="178">
        <f t="shared" si="1"/>
        <v>4.5898222085198588E-3</v>
      </c>
      <c r="J10" s="302"/>
      <c r="K10" s="62"/>
      <c r="L10" s="62"/>
      <c r="M10" s="62"/>
      <c r="N10" s="62"/>
      <c r="P10" s="67">
        <v>1000000</v>
      </c>
      <c r="Q10" s="67">
        <v>2318603</v>
      </c>
      <c r="S10" s="49" t="s">
        <v>212</v>
      </c>
    </row>
    <row r="11" spans="1:19" x14ac:dyDescent="0.25">
      <c r="A11" s="172" t="s">
        <v>55</v>
      </c>
      <c r="B11" s="214"/>
      <c r="C11" s="179">
        <v>6878060</v>
      </c>
      <c r="D11" s="180"/>
      <c r="E11" s="179">
        <v>6626040</v>
      </c>
      <c r="F11" s="181"/>
      <c r="G11" s="176">
        <f t="shared" si="0"/>
        <v>-3.6641145904513769E-2</v>
      </c>
      <c r="H11" s="177"/>
      <c r="I11" s="178">
        <f t="shared" si="1"/>
        <v>1.3116667901551462E-2</v>
      </c>
      <c r="P11" s="67"/>
    </row>
    <row r="12" spans="1:19" x14ac:dyDescent="0.25">
      <c r="A12" s="172" t="s">
        <v>56</v>
      </c>
      <c r="B12" s="214"/>
      <c r="C12" s="179">
        <v>433045</v>
      </c>
      <c r="D12" s="180"/>
      <c r="E12" s="179">
        <v>466814</v>
      </c>
      <c r="F12" s="181"/>
      <c r="G12" s="176">
        <f t="shared" si="0"/>
        <v>7.7980348462630911E-2</v>
      </c>
      <c r="H12" s="177"/>
      <c r="I12" s="178">
        <f t="shared" si="1"/>
        <v>9.2408802388679271E-4</v>
      </c>
      <c r="J12" s="302"/>
      <c r="P12" s="67"/>
    </row>
    <row r="13" spans="1:19" x14ac:dyDescent="0.25">
      <c r="A13" s="172" t="s">
        <v>57</v>
      </c>
      <c r="B13" s="214"/>
      <c r="C13" s="182">
        <v>150</v>
      </c>
      <c r="D13" s="180"/>
      <c r="E13" s="182">
        <v>125</v>
      </c>
      <c r="F13" s="181"/>
      <c r="G13" s="176">
        <f t="shared" si="0"/>
        <v>-0.16666666666666666</v>
      </c>
      <c r="H13" s="177"/>
      <c r="I13" s="178">
        <f t="shared" si="1"/>
        <v>2.474454557615005E-7</v>
      </c>
      <c r="P13" s="67"/>
    </row>
    <row r="14" spans="1:19" x14ac:dyDescent="0.25">
      <c r="A14" s="166" t="s">
        <v>58</v>
      </c>
      <c r="B14" s="214"/>
      <c r="C14" s="183">
        <f>SUM(C9:C13)</f>
        <v>283320720</v>
      </c>
      <c r="D14" s="184"/>
      <c r="E14" s="183">
        <f>SUM(E9:E13)</f>
        <v>292140617</v>
      </c>
      <c r="F14" s="181"/>
      <c r="G14" s="185">
        <f t="shared" si="0"/>
        <v>3.1130434088971679E-2</v>
      </c>
      <c r="H14" s="177"/>
      <c r="I14" s="186">
        <f t="shared" si="1"/>
        <v>0.57831094496008772</v>
      </c>
      <c r="M14" s="304">
        <v>5719493</v>
      </c>
      <c r="P14" s="67"/>
    </row>
    <row r="15" spans="1:19" x14ac:dyDescent="0.25">
      <c r="A15" s="166"/>
      <c r="B15" s="214"/>
      <c r="C15" s="184"/>
      <c r="D15" s="184"/>
      <c r="E15" s="184"/>
      <c r="F15" s="181"/>
      <c r="G15" s="177"/>
      <c r="H15" s="177"/>
      <c r="I15" s="187"/>
      <c r="M15" s="304"/>
      <c r="P15" s="67"/>
    </row>
    <row r="16" spans="1:19" x14ac:dyDescent="0.25">
      <c r="A16" s="166" t="s">
        <v>59</v>
      </c>
      <c r="B16" s="214"/>
      <c r="C16" s="188"/>
      <c r="D16" s="188"/>
      <c r="E16" s="188"/>
      <c r="F16" s="181"/>
      <c r="G16" s="178"/>
      <c r="H16" s="187"/>
      <c r="I16" s="178"/>
      <c r="M16" s="304"/>
      <c r="P16" s="67"/>
    </row>
    <row r="17" spans="1:17" x14ac:dyDescent="0.25">
      <c r="A17" s="172" t="s">
        <v>53</v>
      </c>
      <c r="B17" s="214"/>
      <c r="C17" s="180">
        <v>5145435</v>
      </c>
      <c r="D17" s="180"/>
      <c r="E17" s="180">
        <f>5692974+M21</f>
        <v>5808342</v>
      </c>
      <c r="F17" s="181"/>
      <c r="G17" s="176">
        <f>(+E17-C17)/C17</f>
        <v>0.12883400528818262</v>
      </c>
      <c r="H17" s="177"/>
      <c r="I17" s="178">
        <f>+E17/E$162</f>
        <v>1.1497982667269322E-2</v>
      </c>
      <c r="M17" s="304"/>
      <c r="P17" s="67">
        <v>0</v>
      </c>
      <c r="Q17" s="67">
        <v>4747159</v>
      </c>
    </row>
    <row r="18" spans="1:17" x14ac:dyDescent="0.25">
      <c r="A18" s="172" t="s">
        <v>54</v>
      </c>
      <c r="B18" s="214"/>
      <c r="C18" s="180">
        <v>277875</v>
      </c>
      <c r="D18" s="180"/>
      <c r="E18" s="180">
        <v>254405</v>
      </c>
      <c r="F18" s="181"/>
      <c r="G18" s="176">
        <f>(+E18-C18)/C18</f>
        <v>-8.4462438146648666E-2</v>
      </c>
      <c r="H18" s="177"/>
      <c r="I18" s="178">
        <f>+E18/E$162</f>
        <v>5.0361088938403629E-4</v>
      </c>
      <c r="M18" s="304"/>
      <c r="P18" s="67"/>
    </row>
    <row r="19" spans="1:17" x14ac:dyDescent="0.25">
      <c r="A19" s="172" t="s">
        <v>55</v>
      </c>
      <c r="B19" s="214"/>
      <c r="C19" s="180">
        <v>397963</v>
      </c>
      <c r="D19" s="180"/>
      <c r="E19" s="180">
        <v>387141</v>
      </c>
      <c r="F19" s="181"/>
      <c r="G19" s="176">
        <f>(+E19-C19)/C19</f>
        <v>-2.7193482811216117E-2</v>
      </c>
      <c r="H19" s="177"/>
      <c r="I19" s="178">
        <f>+E19/E$162</f>
        <v>7.6637024951170453E-4</v>
      </c>
      <c r="M19" s="304"/>
      <c r="P19" s="67"/>
    </row>
    <row r="20" spans="1:17" x14ac:dyDescent="0.25">
      <c r="A20" s="172" t="s">
        <v>56</v>
      </c>
      <c r="B20" s="214"/>
      <c r="C20" s="180">
        <v>3955</v>
      </c>
      <c r="D20" s="180"/>
      <c r="E20" s="180">
        <v>4115</v>
      </c>
      <c r="F20" s="181"/>
      <c r="G20" s="176">
        <f>(+E20-C20)/C20</f>
        <v>4.0455120101137804E-2</v>
      </c>
      <c r="H20" s="177"/>
      <c r="I20" s="178">
        <f>+E20/E$162</f>
        <v>8.1459044036685963E-6</v>
      </c>
      <c r="M20" s="304"/>
      <c r="P20" s="67"/>
    </row>
    <row r="21" spans="1:17" x14ac:dyDescent="0.25">
      <c r="A21" s="166" t="s">
        <v>60</v>
      </c>
      <c r="B21" s="214"/>
      <c r="C21" s="183">
        <f>SUM(C17:C20)</f>
        <v>5825228</v>
      </c>
      <c r="D21" s="184"/>
      <c r="E21" s="183">
        <f>SUM(E17:E20)</f>
        <v>6454003</v>
      </c>
      <c r="F21" s="181"/>
      <c r="G21" s="185">
        <f>(+E21-C21)/C21</f>
        <v>0.10793998106168548</v>
      </c>
      <c r="H21" s="177"/>
      <c r="I21" s="186">
        <f>+E21/E$162</f>
        <v>1.2776109710568731E-2</v>
      </c>
      <c r="M21" s="304">
        <v>115368</v>
      </c>
      <c r="P21" s="67"/>
    </row>
    <row r="22" spans="1:17" x14ac:dyDescent="0.25">
      <c r="A22" s="166"/>
      <c r="B22" s="214"/>
      <c r="C22" s="184"/>
      <c r="D22" s="184"/>
      <c r="E22" s="184"/>
      <c r="F22" s="181"/>
      <c r="G22" s="177"/>
      <c r="H22" s="177"/>
      <c r="I22" s="187"/>
      <c r="M22" s="304"/>
      <c r="P22" s="67"/>
    </row>
    <row r="23" spans="1:17" x14ac:dyDescent="0.25">
      <c r="A23" s="166" t="s">
        <v>61</v>
      </c>
      <c r="B23" s="214"/>
      <c r="C23" s="188"/>
      <c r="D23" s="188"/>
      <c r="E23" s="188"/>
      <c r="F23" s="181"/>
      <c r="G23" s="178"/>
      <c r="H23" s="187"/>
      <c r="I23" s="178"/>
      <c r="M23" s="304"/>
      <c r="P23" s="67"/>
    </row>
    <row r="24" spans="1:17" x14ac:dyDescent="0.25">
      <c r="A24" s="172" t="s">
        <v>53</v>
      </c>
      <c r="B24" s="214"/>
      <c r="C24" s="180">
        <v>1503363</v>
      </c>
      <c r="D24" s="180"/>
      <c r="E24" s="180">
        <f>1340567+M28</f>
        <v>1358198</v>
      </c>
      <c r="F24" s="181"/>
      <c r="G24" s="176">
        <f>(+E24-C24)/C24</f>
        <v>-9.6560178745918324E-2</v>
      </c>
      <c r="H24" s="177"/>
      <c r="I24" s="178">
        <f>+E24/E$162</f>
        <v>2.6886393849948676E-3</v>
      </c>
      <c r="M24" s="304"/>
      <c r="P24" s="67">
        <v>0</v>
      </c>
      <c r="Q24" s="67">
        <v>1230158</v>
      </c>
    </row>
    <row r="25" spans="1:17" x14ac:dyDescent="0.25">
      <c r="A25" s="172" t="s">
        <v>54</v>
      </c>
      <c r="B25" s="214"/>
      <c r="C25" s="180">
        <v>505208</v>
      </c>
      <c r="D25" s="180"/>
      <c r="E25" s="180">
        <v>416001</v>
      </c>
      <c r="F25" s="181"/>
      <c r="G25" s="176">
        <f>(+E25-C25)/C25</f>
        <v>-0.17657479691532993</v>
      </c>
      <c r="H25" s="177"/>
      <c r="I25" s="178">
        <f>+E25/E$162</f>
        <v>8.2350045633791972E-4</v>
      </c>
      <c r="M25" s="304"/>
      <c r="P25" s="67"/>
    </row>
    <row r="26" spans="1:17" x14ac:dyDescent="0.25">
      <c r="A26" s="172" t="s">
        <v>55</v>
      </c>
      <c r="B26" s="214"/>
      <c r="C26" s="180">
        <v>338617</v>
      </c>
      <c r="D26" s="180"/>
      <c r="E26" s="180">
        <v>278201</v>
      </c>
      <c r="F26" s="181"/>
      <c r="G26" s="176">
        <f>(+E26-C26)/C26</f>
        <v>-0.17841986669304849</v>
      </c>
      <c r="H26" s="177"/>
      <c r="I26" s="178">
        <f>+E26/E$162</f>
        <v>5.5071658590644156E-4</v>
      </c>
      <c r="M26" s="304"/>
      <c r="P26" s="67"/>
    </row>
    <row r="27" spans="1:17" x14ac:dyDescent="0.25">
      <c r="A27" s="172" t="s">
        <v>56</v>
      </c>
      <c r="B27" s="214"/>
      <c r="C27" s="180">
        <v>485586</v>
      </c>
      <c r="D27" s="180"/>
      <c r="E27" s="180">
        <v>443982</v>
      </c>
      <c r="F27" s="181"/>
      <c r="G27" s="176">
        <f>(+E27-C27)/C27</f>
        <v>-8.5677923169119374E-2</v>
      </c>
      <c r="H27" s="177"/>
      <c r="I27" s="178">
        <f>+E27/E$162</f>
        <v>8.7889062671922015E-4</v>
      </c>
      <c r="M27" s="304"/>
      <c r="P27" s="67"/>
    </row>
    <row r="28" spans="1:17" x14ac:dyDescent="0.25">
      <c r="A28" s="166" t="s">
        <v>62</v>
      </c>
      <c r="B28" s="214"/>
      <c r="C28" s="183">
        <f>SUM(C24:C27)</f>
        <v>2832774</v>
      </c>
      <c r="D28" s="184"/>
      <c r="E28" s="183">
        <f>SUM(E24:E27)</f>
        <v>2496382</v>
      </c>
      <c r="F28" s="181"/>
      <c r="G28" s="185">
        <f>(+E28-C28)/C28</f>
        <v>-0.11875003088845068</v>
      </c>
      <c r="H28" s="177"/>
      <c r="I28" s="186">
        <f>+E28/E$162</f>
        <v>4.9417470539584486E-3</v>
      </c>
      <c r="M28" s="304">
        <v>17631</v>
      </c>
      <c r="P28" s="67"/>
    </row>
    <row r="29" spans="1:17" x14ac:dyDescent="0.25">
      <c r="A29" s="166"/>
      <c r="B29" s="214"/>
      <c r="C29" s="184"/>
      <c r="D29" s="184"/>
      <c r="E29" s="184"/>
      <c r="F29" s="181"/>
      <c r="G29" s="177"/>
      <c r="H29" s="177"/>
      <c r="I29" s="187"/>
      <c r="M29" s="304"/>
      <c r="P29" s="67"/>
    </row>
    <row r="30" spans="1:17" x14ac:dyDescent="0.25">
      <c r="A30" s="166" t="s">
        <v>63</v>
      </c>
      <c r="B30" s="214"/>
      <c r="C30" s="188"/>
      <c r="D30" s="188"/>
      <c r="E30" s="188"/>
      <c r="F30" s="181"/>
      <c r="G30" s="176"/>
      <c r="H30" s="177"/>
      <c r="I30" s="178"/>
      <c r="M30" s="304"/>
      <c r="P30" s="67"/>
    </row>
    <row r="31" spans="1:17" x14ac:dyDescent="0.25">
      <c r="A31" s="172" t="s">
        <v>53</v>
      </c>
      <c r="B31" s="214"/>
      <c r="C31" s="180">
        <v>10555256</v>
      </c>
      <c r="D31" s="180"/>
      <c r="E31" s="180">
        <f>10056826+M35</f>
        <v>10280655</v>
      </c>
      <c r="F31" s="181"/>
      <c r="G31" s="176">
        <f>(+E31-C31)/C31</f>
        <v>-2.6015569873435566E-2</v>
      </c>
      <c r="H31" s="177"/>
      <c r="I31" s="178">
        <f>+E31/E$162</f>
        <v>2.035121089601399E-2</v>
      </c>
      <c r="M31" s="304"/>
      <c r="P31" s="67">
        <v>0</v>
      </c>
      <c r="Q31" s="67">
        <v>8798752</v>
      </c>
    </row>
    <row r="32" spans="1:17" x14ac:dyDescent="0.25">
      <c r="A32" s="172" t="s">
        <v>54</v>
      </c>
      <c r="B32" s="214"/>
      <c r="C32" s="180">
        <v>291074</v>
      </c>
      <c r="D32" s="180"/>
      <c r="E32" s="180">
        <v>324870</v>
      </c>
      <c r="F32" s="181"/>
      <c r="G32" s="176">
        <f>(+E32-C32)/C32</f>
        <v>0.116107931316435</v>
      </c>
      <c r="H32" s="177"/>
      <c r="I32" s="178">
        <f>+E32/E$162</f>
        <v>6.4310084170590936E-4</v>
      </c>
      <c r="J32" s="302"/>
      <c r="M32" s="304"/>
      <c r="P32" s="67"/>
    </row>
    <row r="33" spans="1:17" x14ac:dyDescent="0.25">
      <c r="A33" s="172" t="s">
        <v>55</v>
      </c>
      <c r="B33" s="214"/>
      <c r="C33" s="180">
        <v>214955</v>
      </c>
      <c r="D33" s="180"/>
      <c r="E33" s="180">
        <v>216347</v>
      </c>
      <c r="F33" s="181"/>
      <c r="G33" s="176">
        <f>(+E33-C33)/C33</f>
        <v>6.4757739992091371E-3</v>
      </c>
      <c r="H33" s="177"/>
      <c r="I33" s="178">
        <f>+E33/E$162</f>
        <v>4.2827265614106677E-4</v>
      </c>
      <c r="M33" s="304"/>
      <c r="P33" s="67"/>
    </row>
    <row r="34" spans="1:17" x14ac:dyDescent="0.25">
      <c r="A34" s="172" t="s">
        <v>56</v>
      </c>
      <c r="B34" s="214"/>
      <c r="C34" s="180">
        <v>174775</v>
      </c>
      <c r="D34" s="180"/>
      <c r="E34" s="180">
        <v>173301</v>
      </c>
      <c r="F34" s="181"/>
      <c r="G34" s="176">
        <f>(+E34-C34)/C34</f>
        <v>-8.4337004720354738E-3</v>
      </c>
      <c r="H34" s="177"/>
      <c r="I34" s="178">
        <f>+E34/E$162</f>
        <v>3.4306035943139037E-4</v>
      </c>
      <c r="M34" s="304"/>
      <c r="P34" s="67"/>
    </row>
    <row r="35" spans="1:17" x14ac:dyDescent="0.25">
      <c r="A35" s="189" t="s">
        <v>64</v>
      </c>
      <c r="B35" s="190"/>
      <c r="C35" s="183">
        <f>SUM(C31:C34)</f>
        <v>11236060</v>
      </c>
      <c r="D35" s="184"/>
      <c r="E35" s="183">
        <f>SUM(E31:E34)</f>
        <v>10995173</v>
      </c>
      <c r="F35" s="181"/>
      <c r="G35" s="185">
        <f>(+E35-C35)/C35</f>
        <v>-2.1438742762142603E-2</v>
      </c>
      <c r="H35" s="177"/>
      <c r="I35" s="186">
        <f>+E35/E$162</f>
        <v>2.1765644753292356E-2</v>
      </c>
      <c r="M35" s="304">
        <v>223829</v>
      </c>
      <c r="P35" s="67"/>
    </row>
    <row r="36" spans="1:17" x14ac:dyDescent="0.25">
      <c r="A36" s="189"/>
      <c r="B36" s="190"/>
      <c r="C36" s="184"/>
      <c r="D36" s="184"/>
      <c r="E36" s="184"/>
      <c r="F36" s="181"/>
      <c r="G36" s="177"/>
      <c r="H36" s="177"/>
      <c r="I36" s="187"/>
      <c r="M36" s="304"/>
      <c r="P36" s="67"/>
    </row>
    <row r="37" spans="1:17" x14ac:dyDescent="0.25">
      <c r="A37" s="166" t="s">
        <v>65</v>
      </c>
      <c r="B37" s="214"/>
      <c r="C37" s="191"/>
      <c r="D37" s="191"/>
      <c r="E37" s="191"/>
      <c r="F37" s="181"/>
      <c r="G37" s="176"/>
      <c r="H37" s="177"/>
      <c r="I37" s="178"/>
      <c r="M37" s="304"/>
      <c r="P37" s="67"/>
    </row>
    <row r="38" spans="1:17" x14ac:dyDescent="0.25">
      <c r="A38" s="172" t="s">
        <v>53</v>
      </c>
      <c r="B38" s="214"/>
      <c r="C38" s="191">
        <v>28136227</v>
      </c>
      <c r="D38" s="191"/>
      <c r="E38" s="180">
        <f>30711661+M42</f>
        <v>31512343</v>
      </c>
      <c r="F38" s="192"/>
      <c r="G38" s="176">
        <f>(+E38-C38)/C38</f>
        <v>0.11999178141404673</v>
      </c>
      <c r="H38" s="177"/>
      <c r="I38" s="178">
        <f>+E38/E$162</f>
        <v>6.2380688605981838E-2</v>
      </c>
      <c r="M38" s="304"/>
      <c r="P38" s="67">
        <v>0</v>
      </c>
      <c r="Q38" s="67">
        <v>26007580</v>
      </c>
    </row>
    <row r="39" spans="1:17" x14ac:dyDescent="0.25">
      <c r="A39" s="172" t="s">
        <v>54</v>
      </c>
      <c r="B39" s="214"/>
      <c r="C39" s="191">
        <v>125316</v>
      </c>
      <c r="D39" s="191"/>
      <c r="E39" s="191">
        <v>153888</v>
      </c>
      <c r="F39" s="192"/>
      <c r="G39" s="176">
        <f>(+E39-C39)/C39</f>
        <v>0.22799961696830412</v>
      </c>
      <c r="H39" s="177"/>
      <c r="I39" s="178">
        <f>+E39/E$162</f>
        <v>3.0463109036980629E-4</v>
      </c>
      <c r="J39" s="302"/>
      <c r="M39" s="304"/>
      <c r="P39" s="67"/>
    </row>
    <row r="40" spans="1:17" x14ac:dyDescent="0.25">
      <c r="A40" s="172" t="s">
        <v>55</v>
      </c>
      <c r="B40" s="214"/>
      <c r="C40" s="191">
        <v>239728</v>
      </c>
      <c r="D40" s="191"/>
      <c r="E40" s="191">
        <v>194624</v>
      </c>
      <c r="F40" s="192"/>
      <c r="G40" s="176">
        <f>(+E40-C40)/C40</f>
        <v>-0.18814656610825603</v>
      </c>
      <c r="H40" s="177"/>
      <c r="I40" s="178">
        <f>+E40/E$162</f>
        <v>3.8527059505701018E-4</v>
      </c>
      <c r="J40" s="302"/>
      <c r="M40" s="304"/>
      <c r="P40" s="67"/>
    </row>
    <row r="41" spans="1:17" x14ac:dyDescent="0.25">
      <c r="A41" s="172" t="s">
        <v>56</v>
      </c>
      <c r="B41" s="214"/>
      <c r="C41" s="191">
        <v>191314</v>
      </c>
      <c r="D41" s="191"/>
      <c r="E41" s="191">
        <v>197707</v>
      </c>
      <c r="F41" s="192"/>
      <c r="G41" s="176">
        <f>(+E41-C41)/C41</f>
        <v>3.3416268542814431E-2</v>
      </c>
      <c r="H41" s="177"/>
      <c r="I41" s="178">
        <f>+E41/E$162</f>
        <v>3.9137358977791182E-4</v>
      </c>
      <c r="J41" s="302"/>
      <c r="M41" s="304"/>
      <c r="P41" s="67"/>
    </row>
    <row r="42" spans="1:17" x14ac:dyDescent="0.25">
      <c r="A42" s="189" t="s">
        <v>66</v>
      </c>
      <c r="B42" s="190"/>
      <c r="C42" s="193">
        <f>SUM(C38:C41)</f>
        <v>28692585</v>
      </c>
      <c r="D42" s="194"/>
      <c r="E42" s="193">
        <f>SUM(E38:E41)</f>
        <v>32058562</v>
      </c>
      <c r="F42" s="192"/>
      <c r="G42" s="185">
        <f>(+E42-C42)/C42</f>
        <v>0.11731173750988277</v>
      </c>
      <c r="H42" s="177"/>
      <c r="I42" s="186">
        <f>+E42/E$162</f>
        <v>6.3461963881186564E-2</v>
      </c>
      <c r="M42" s="304">
        <v>800682</v>
      </c>
      <c r="P42" s="67"/>
    </row>
    <row r="43" spans="1:17" x14ac:dyDescent="0.25">
      <c r="A43" s="189"/>
      <c r="B43" s="190"/>
      <c r="C43" s="194"/>
      <c r="D43" s="194"/>
      <c r="E43" s="194"/>
      <c r="F43" s="192"/>
      <c r="G43" s="177"/>
      <c r="H43" s="177"/>
      <c r="I43" s="187"/>
      <c r="M43" s="304"/>
      <c r="P43" s="67"/>
    </row>
    <row r="44" spans="1:17" x14ac:dyDescent="0.25">
      <c r="A44" s="166" t="s">
        <v>67</v>
      </c>
      <c r="B44" s="214"/>
      <c r="C44" s="188"/>
      <c r="D44" s="188"/>
      <c r="E44" s="188"/>
      <c r="F44" s="168"/>
      <c r="G44" s="195"/>
      <c r="H44" s="196"/>
      <c r="I44" s="197"/>
      <c r="M44" s="304"/>
      <c r="P44" s="67"/>
    </row>
    <row r="45" spans="1:17" x14ac:dyDescent="0.25">
      <c r="A45" s="172" t="s">
        <v>53</v>
      </c>
      <c r="B45" s="214"/>
      <c r="C45" s="180">
        <v>19246442</v>
      </c>
      <c r="D45" s="180"/>
      <c r="E45" s="180">
        <f>22234451+M49</f>
        <v>22710662</v>
      </c>
      <c r="F45" s="198"/>
      <c r="G45" s="176">
        <f>(+E45-C45)/C45</f>
        <v>0.17999274878962043</v>
      </c>
      <c r="H45" s="177"/>
      <c r="I45" s="178">
        <f>+E45/E$162</f>
        <v>4.4957200873883121E-2</v>
      </c>
      <c r="M45" s="304"/>
      <c r="P45" s="67">
        <v>0</v>
      </c>
      <c r="Q45" s="67">
        <v>18806270</v>
      </c>
    </row>
    <row r="46" spans="1:17" x14ac:dyDescent="0.25">
      <c r="A46" s="172" t="s">
        <v>54</v>
      </c>
      <c r="B46" s="214"/>
      <c r="C46" s="180">
        <v>92803</v>
      </c>
      <c r="D46" s="180"/>
      <c r="E46" s="180">
        <v>79372</v>
      </c>
      <c r="F46" s="198"/>
      <c r="G46" s="176">
        <f>(+E46-C46)/C46</f>
        <v>-0.14472592480846524</v>
      </c>
      <c r="H46" s="177"/>
      <c r="I46" s="178">
        <f>+E46/E$162</f>
        <v>1.5712192571761455E-4</v>
      </c>
      <c r="J46" s="302"/>
      <c r="M46" s="304"/>
      <c r="P46" s="67"/>
    </row>
    <row r="47" spans="1:17" x14ac:dyDescent="0.25">
      <c r="A47" s="172" t="s">
        <v>68</v>
      </c>
      <c r="B47" s="214"/>
      <c r="C47" s="180">
        <v>441118</v>
      </c>
      <c r="D47" s="180"/>
      <c r="E47" s="180">
        <v>525779</v>
      </c>
      <c r="F47" s="198"/>
      <c r="G47" s="176">
        <f>(+E47-C47)/C47</f>
        <v>0.19192370295476494</v>
      </c>
      <c r="H47" s="177"/>
      <c r="I47" s="178">
        <f>+E47/E$162</f>
        <v>1.0408129942786077E-3</v>
      </c>
      <c r="J47" s="302"/>
      <c r="M47" s="304"/>
      <c r="P47" s="67"/>
    </row>
    <row r="48" spans="1:17" x14ac:dyDescent="0.25">
      <c r="A48" s="172" t="s">
        <v>56</v>
      </c>
      <c r="B48" s="214"/>
      <c r="C48" s="180">
        <v>38610</v>
      </c>
      <c r="D48" s="180"/>
      <c r="E48" s="180">
        <v>57631</v>
      </c>
      <c r="F48" s="198"/>
      <c r="G48" s="176">
        <f>(+E48-C48)/C48</f>
        <v>0.49264439264439264</v>
      </c>
      <c r="H48" s="177"/>
      <c r="I48" s="178">
        <f>+E48/E$162</f>
        <v>1.1408423248792828E-4</v>
      </c>
      <c r="J48" s="302"/>
      <c r="M48" s="304"/>
      <c r="P48" s="67"/>
    </row>
    <row r="49" spans="1:17" x14ac:dyDescent="0.25">
      <c r="A49" s="166" t="s">
        <v>69</v>
      </c>
      <c r="B49" s="214"/>
      <c r="C49" s="183">
        <f>SUM(C45:C48)</f>
        <v>19818973</v>
      </c>
      <c r="D49" s="184"/>
      <c r="E49" s="183">
        <f>SUM(E45:E48)</f>
        <v>23373444</v>
      </c>
      <c r="F49" s="198"/>
      <c r="G49" s="185">
        <f>(+E49-C49)/C49</f>
        <v>0.17934688139491387</v>
      </c>
      <c r="H49" s="177"/>
      <c r="I49" s="186">
        <f>+E49/E$162</f>
        <v>4.6269220026367276E-2</v>
      </c>
      <c r="M49" s="304">
        <v>476211</v>
      </c>
      <c r="P49" s="67"/>
    </row>
    <row r="50" spans="1:17" x14ac:dyDescent="0.25">
      <c r="A50" s="166"/>
      <c r="B50" s="214"/>
      <c r="C50" s="198"/>
      <c r="D50" s="198"/>
      <c r="E50" s="198"/>
      <c r="F50" s="198"/>
      <c r="G50" s="177"/>
      <c r="H50" s="177"/>
      <c r="I50" s="187"/>
      <c r="M50" s="304"/>
      <c r="P50" s="67"/>
    </row>
    <row r="51" spans="1:17" x14ac:dyDescent="0.25">
      <c r="A51" s="394" t="s">
        <v>0</v>
      </c>
      <c r="B51" s="394"/>
      <c r="C51" s="394"/>
      <c r="D51" s="394"/>
      <c r="E51" s="394"/>
      <c r="F51" s="394"/>
      <c r="G51" s="394"/>
      <c r="H51" s="394"/>
      <c r="I51" s="394"/>
      <c r="M51" s="304"/>
      <c r="P51" s="67"/>
    </row>
    <row r="52" spans="1:17" x14ac:dyDescent="0.25">
      <c r="A52" s="394" t="str">
        <f>+A2</f>
        <v>General Fund</v>
      </c>
      <c r="B52" s="394"/>
      <c r="C52" s="394"/>
      <c r="D52" s="394"/>
      <c r="E52" s="394"/>
      <c r="F52" s="394"/>
      <c r="G52" s="394"/>
      <c r="H52" s="394"/>
      <c r="I52" s="394"/>
      <c r="M52" s="304"/>
      <c r="P52" s="67"/>
    </row>
    <row r="53" spans="1:17" x14ac:dyDescent="0.25">
      <c r="A53" s="391" t="s">
        <v>47</v>
      </c>
      <c r="B53" s="391"/>
      <c r="C53" s="391"/>
      <c r="D53" s="391"/>
      <c r="E53" s="391"/>
      <c r="F53" s="391"/>
      <c r="G53" s="391"/>
      <c r="H53" s="391"/>
      <c r="I53" s="391"/>
      <c r="M53" s="304"/>
      <c r="P53" s="67"/>
    </row>
    <row r="54" spans="1:17" x14ac:dyDescent="0.25">
      <c r="A54" s="391"/>
      <c r="B54" s="391"/>
      <c r="C54" s="391"/>
      <c r="D54" s="391"/>
      <c r="E54" s="391"/>
      <c r="F54" s="391"/>
      <c r="G54" s="391"/>
      <c r="H54" s="391"/>
      <c r="I54" s="391"/>
      <c r="M54" s="304"/>
      <c r="P54" s="67"/>
    </row>
    <row r="55" spans="1:17" x14ac:dyDescent="0.25">
      <c r="A55" s="214"/>
      <c r="B55" s="214"/>
      <c r="C55" s="155" t="str">
        <f>+C5</f>
        <v>General Fund</v>
      </c>
      <c r="D55" s="155"/>
      <c r="E55" s="155" t="str">
        <f>+E5</f>
        <v>General Fund</v>
      </c>
      <c r="F55" s="156"/>
      <c r="G55" s="157" t="s">
        <v>48</v>
      </c>
      <c r="H55" s="158"/>
      <c r="I55" s="159"/>
      <c r="M55" s="304"/>
      <c r="P55" s="67"/>
    </row>
    <row r="56" spans="1:17" x14ac:dyDescent="0.25">
      <c r="A56" s="214"/>
      <c r="B56" s="214"/>
      <c r="C56" s="155" t="str">
        <f>+C6</f>
        <v>Adopted Budget</v>
      </c>
      <c r="D56" s="285"/>
      <c r="E56" s="155" t="str">
        <f>+E6</f>
        <v>DRAFT Budget</v>
      </c>
      <c r="F56" s="161"/>
      <c r="G56" s="157" t="s">
        <v>49</v>
      </c>
      <c r="H56" s="158"/>
      <c r="I56" s="162" t="s">
        <v>48</v>
      </c>
      <c r="M56" s="304"/>
      <c r="P56" s="67"/>
    </row>
    <row r="57" spans="1:17" x14ac:dyDescent="0.25">
      <c r="A57" s="214"/>
      <c r="B57" s="214"/>
      <c r="C57" s="199" t="str">
        <f>+C7</f>
        <v>FY 2018-19</v>
      </c>
      <c r="D57" s="161"/>
      <c r="E57" s="199" t="str">
        <f>+E7</f>
        <v>FY 2019-20</v>
      </c>
      <c r="F57" s="161"/>
      <c r="G57" s="164" t="s">
        <v>50</v>
      </c>
      <c r="H57" s="158"/>
      <c r="I57" s="165" t="s">
        <v>51</v>
      </c>
      <c r="M57" s="304"/>
      <c r="P57" s="67"/>
    </row>
    <row r="58" spans="1:17" x14ac:dyDescent="0.25">
      <c r="A58" s="166" t="s">
        <v>70</v>
      </c>
      <c r="B58" s="214"/>
      <c r="C58" s="167"/>
      <c r="D58" s="167"/>
      <c r="E58" s="167"/>
      <c r="F58" s="168"/>
      <c r="G58" s="176"/>
      <c r="H58" s="177"/>
      <c r="I58" s="178"/>
      <c r="M58" s="304"/>
      <c r="P58" s="67"/>
    </row>
    <row r="59" spans="1:17" x14ac:dyDescent="0.25">
      <c r="A59" s="172" t="s">
        <v>53</v>
      </c>
      <c r="B59" s="214"/>
      <c r="C59" s="174">
        <v>211132</v>
      </c>
      <c r="D59" s="174"/>
      <c r="E59" s="174">
        <f>228623+M61</f>
        <v>233800</v>
      </c>
      <c r="F59" s="184"/>
      <c r="G59" s="176">
        <f>(+E59-C59)/C59</f>
        <v>0.10736411344561696</v>
      </c>
      <c r="H59" s="177"/>
      <c r="I59" s="178">
        <f>+E59/E$162</f>
        <v>4.6282198045631052E-4</v>
      </c>
      <c r="M59" s="304"/>
      <c r="P59" s="67">
        <v>0</v>
      </c>
      <c r="Q59" s="67">
        <v>192534</v>
      </c>
    </row>
    <row r="60" spans="1:17" x14ac:dyDescent="0.25">
      <c r="A60" s="172" t="s">
        <v>68</v>
      </c>
      <c r="B60" s="214"/>
      <c r="C60" s="180">
        <v>3000</v>
      </c>
      <c r="D60" s="180"/>
      <c r="E60" s="180">
        <v>3000</v>
      </c>
      <c r="F60" s="184"/>
      <c r="G60" s="176">
        <f>(+E60-C60)/C60</f>
        <v>0</v>
      </c>
      <c r="H60" s="177"/>
      <c r="I60" s="178">
        <f>+E60/E$162</f>
        <v>5.938690938276012E-6</v>
      </c>
      <c r="M60" s="304"/>
      <c r="P60" s="67"/>
    </row>
    <row r="61" spans="1:17" x14ac:dyDescent="0.25">
      <c r="A61" s="166" t="s">
        <v>71</v>
      </c>
      <c r="B61" s="214"/>
      <c r="C61" s="183">
        <f>SUM(C59:C60)</f>
        <v>214132</v>
      </c>
      <c r="D61" s="184"/>
      <c r="E61" s="183">
        <f>SUM(E59:E60)</f>
        <v>236800</v>
      </c>
      <c r="F61" s="184"/>
      <c r="G61" s="185">
        <f>(+E61-C61)/C61</f>
        <v>0.10585993686137522</v>
      </c>
      <c r="H61" s="177"/>
      <c r="I61" s="186">
        <f>+E61/E$162</f>
        <v>4.6876067139458655E-4</v>
      </c>
      <c r="M61" s="304">
        <v>5177</v>
      </c>
      <c r="P61" s="67"/>
    </row>
    <row r="62" spans="1:17" x14ac:dyDescent="0.25">
      <c r="A62" s="166"/>
      <c r="B62" s="214"/>
      <c r="C62" s="188"/>
      <c r="D62" s="188"/>
      <c r="E62" s="188"/>
      <c r="F62" s="200"/>
      <c r="G62" s="176"/>
      <c r="H62" s="177"/>
      <c r="I62" s="178"/>
      <c r="M62" s="304"/>
      <c r="P62" s="67"/>
    </row>
    <row r="63" spans="1:17" x14ac:dyDescent="0.25">
      <c r="A63" s="166" t="s">
        <v>72</v>
      </c>
      <c r="B63" s="214"/>
      <c r="C63" s="188"/>
      <c r="D63" s="188"/>
      <c r="E63" s="188"/>
      <c r="F63" s="200"/>
      <c r="G63" s="176"/>
      <c r="H63" s="177"/>
      <c r="I63" s="178"/>
      <c r="M63" s="304"/>
      <c r="P63" s="67"/>
    </row>
    <row r="64" spans="1:17" x14ac:dyDescent="0.25">
      <c r="A64" s="172" t="s">
        <v>53</v>
      </c>
      <c r="B64" s="214"/>
      <c r="C64" s="180">
        <v>4743637</v>
      </c>
      <c r="D64" s="180"/>
      <c r="E64" s="180">
        <f>5322130+M68</f>
        <v>5435084</v>
      </c>
      <c r="F64" s="184"/>
      <c r="G64" s="176">
        <f>(+E64-C64)/C64</f>
        <v>0.14576305058755551</v>
      </c>
      <c r="H64" s="177"/>
      <c r="I64" s="178">
        <f>+E64/E$162</f>
        <v>1.0759094699856314E-2</v>
      </c>
      <c r="M64" s="304"/>
      <c r="P64" s="67">
        <v>0</v>
      </c>
      <c r="Q64" s="67">
        <v>4526294</v>
      </c>
    </row>
    <row r="65" spans="1:17" x14ac:dyDescent="0.25">
      <c r="A65" s="172" t="s">
        <v>54</v>
      </c>
      <c r="B65" s="214"/>
      <c r="C65" s="180">
        <v>8615</v>
      </c>
      <c r="D65" s="180"/>
      <c r="E65" s="180">
        <v>12300</v>
      </c>
      <c r="F65" s="184"/>
      <c r="G65" s="176">
        <f>(+E65-C65)/C65</f>
        <v>0.4277423099245502</v>
      </c>
      <c r="H65" s="177"/>
      <c r="I65" s="178">
        <f>+E65/E$162</f>
        <v>2.4348632846931649E-5</v>
      </c>
      <c r="M65" s="304"/>
      <c r="P65" s="67"/>
    </row>
    <row r="66" spans="1:17" x14ac:dyDescent="0.25">
      <c r="A66" s="172" t="s">
        <v>68</v>
      </c>
      <c r="B66" s="214"/>
      <c r="C66" s="180">
        <v>128625</v>
      </c>
      <c r="D66" s="180"/>
      <c r="E66" s="180">
        <v>125884</v>
      </c>
      <c r="F66" s="184"/>
      <c r="G66" s="176">
        <f>(+E66-C66)/C66</f>
        <v>-2.1310009718172984E-2</v>
      </c>
      <c r="H66" s="177"/>
      <c r="I66" s="178">
        <f>+E66/E$162</f>
        <v>2.4919539002464584E-4</v>
      </c>
      <c r="M66" s="304"/>
      <c r="P66" s="67"/>
    </row>
    <row r="67" spans="1:17" x14ac:dyDescent="0.25">
      <c r="A67" s="172" t="s">
        <v>56</v>
      </c>
      <c r="B67" s="214"/>
      <c r="C67" s="180">
        <v>14317</v>
      </c>
      <c r="D67" s="180"/>
      <c r="E67" s="180">
        <v>12732</v>
      </c>
      <c r="F67" s="184"/>
      <c r="G67" s="176">
        <f>(+E67-C67)/C67</f>
        <v>-0.11070755046448279</v>
      </c>
      <c r="H67" s="177"/>
      <c r="I67" s="178">
        <f>+E67/E$162</f>
        <v>2.5203804342043395E-5</v>
      </c>
      <c r="M67" s="304"/>
      <c r="P67" s="67"/>
    </row>
    <row r="68" spans="1:17" x14ac:dyDescent="0.25">
      <c r="A68" s="189" t="s">
        <v>73</v>
      </c>
      <c r="B68" s="190"/>
      <c r="C68" s="183">
        <f>SUM(C64:C67)</f>
        <v>4895194</v>
      </c>
      <c r="D68" s="184"/>
      <c r="E68" s="183">
        <f>SUM(E64:E67)</f>
        <v>5586000</v>
      </c>
      <c r="F68" s="184"/>
      <c r="G68" s="185">
        <f>(+E68-C68)/C68</f>
        <v>0.14111922836970303</v>
      </c>
      <c r="H68" s="177"/>
      <c r="I68" s="186">
        <f>+E68/E$162</f>
        <v>1.1057842527069935E-2</v>
      </c>
      <c r="M68" s="304">
        <v>112954</v>
      </c>
      <c r="P68" s="67"/>
    </row>
    <row r="69" spans="1:17" x14ac:dyDescent="0.25">
      <c r="A69" s="214"/>
      <c r="B69" s="214"/>
      <c r="C69" s="188"/>
      <c r="D69" s="188"/>
      <c r="E69" s="188"/>
      <c r="F69" s="200"/>
      <c r="G69" s="176"/>
      <c r="H69" s="177"/>
      <c r="I69" s="178"/>
      <c r="M69" s="304"/>
      <c r="P69" s="67"/>
    </row>
    <row r="70" spans="1:17" x14ac:dyDescent="0.25">
      <c r="A70" s="166" t="s">
        <v>74</v>
      </c>
      <c r="B70" s="214"/>
      <c r="C70" s="188"/>
      <c r="D70" s="188"/>
      <c r="E70" s="188"/>
      <c r="F70" s="200"/>
      <c r="G70" s="176"/>
      <c r="H70" s="177"/>
      <c r="I70" s="178"/>
      <c r="M70" s="304"/>
      <c r="P70" s="67"/>
    </row>
    <row r="71" spans="1:17" x14ac:dyDescent="0.25">
      <c r="A71" s="172" t="s">
        <v>53</v>
      </c>
      <c r="B71" s="214"/>
      <c r="C71" s="180">
        <v>39099</v>
      </c>
      <c r="D71" s="180"/>
      <c r="E71" s="180">
        <f>36012+M73</f>
        <v>36826</v>
      </c>
      <c r="F71" s="184"/>
      <c r="G71" s="176">
        <f>(+E71-C71)/C71</f>
        <v>-5.8134479142689072E-2</v>
      </c>
      <c r="H71" s="177"/>
      <c r="I71" s="178">
        <f>+E71/E$162</f>
        <v>7.2899410830984135E-5</v>
      </c>
      <c r="M71" s="304"/>
      <c r="P71" s="67">
        <v>0</v>
      </c>
      <c r="Q71" s="67">
        <v>27903</v>
      </c>
    </row>
    <row r="72" spans="1:17" x14ac:dyDescent="0.25">
      <c r="A72" s="172" t="s">
        <v>54</v>
      </c>
      <c r="B72" s="214"/>
      <c r="C72" s="180">
        <v>15169990</v>
      </c>
      <c r="D72" s="180"/>
      <c r="E72" s="180">
        <v>16053538</v>
      </c>
      <c r="F72" s="184"/>
      <c r="G72" s="176">
        <f>(+E72-C72)/C72</f>
        <v>5.8243149797725643E-2</v>
      </c>
      <c r="H72" s="177"/>
      <c r="I72" s="178">
        <f>+E72/E$162</f>
        <v>3.1779000215956539E-2</v>
      </c>
      <c r="J72" s="302"/>
      <c r="M72" s="304"/>
      <c r="P72" s="67"/>
    </row>
    <row r="73" spans="1:17" x14ac:dyDescent="0.25">
      <c r="A73" s="189" t="s">
        <v>75</v>
      </c>
      <c r="B73" s="190"/>
      <c r="C73" s="183">
        <f>SUM(C71:C72)</f>
        <v>15209089</v>
      </c>
      <c r="D73" s="184"/>
      <c r="E73" s="183">
        <f>SUM(E71:E72)</f>
        <v>16090364</v>
      </c>
      <c r="F73" s="184"/>
      <c r="G73" s="185">
        <f>(+E73-C73)/C73</f>
        <v>5.7943970214126568E-2</v>
      </c>
      <c r="H73" s="177"/>
      <c r="I73" s="186">
        <f>+E73/E$162</f>
        <v>3.1851899626787521E-2</v>
      </c>
      <c r="M73" s="304">
        <v>814</v>
      </c>
      <c r="P73" s="67"/>
    </row>
    <row r="74" spans="1:17" x14ac:dyDescent="0.25">
      <c r="A74" s="189"/>
      <c r="B74" s="190"/>
      <c r="C74" s="184"/>
      <c r="D74" s="184"/>
      <c r="E74" s="184"/>
      <c r="F74" s="184"/>
      <c r="G74" s="177"/>
      <c r="H74" s="177"/>
      <c r="I74" s="187"/>
      <c r="M74" s="304"/>
      <c r="P74" s="67"/>
    </row>
    <row r="75" spans="1:17" hidden="1" x14ac:dyDescent="0.25">
      <c r="A75" s="166" t="s">
        <v>97</v>
      </c>
      <c r="B75" s="214"/>
      <c r="C75" s="188"/>
      <c r="D75" s="188"/>
      <c r="E75" s="188"/>
      <c r="F75" s="200"/>
      <c r="G75" s="176"/>
      <c r="H75" s="177"/>
      <c r="I75" s="178"/>
      <c r="M75" s="304"/>
      <c r="P75" s="67"/>
    </row>
    <row r="76" spans="1:17" hidden="1" x14ac:dyDescent="0.25">
      <c r="A76" s="172" t="s">
        <v>68</v>
      </c>
      <c r="B76" s="214"/>
      <c r="C76" s="180">
        <v>0</v>
      </c>
      <c r="D76" s="180"/>
      <c r="E76" s="180">
        <v>0</v>
      </c>
      <c r="F76" s="184"/>
      <c r="G76" s="176" t="str">
        <f>IF(C76=0,"n/a",(+E76-C76)/C76)</f>
        <v>n/a</v>
      </c>
      <c r="H76" s="177"/>
      <c r="I76" s="178">
        <f>+E76/E$162</f>
        <v>0</v>
      </c>
      <c r="M76" s="304"/>
      <c r="P76" s="67"/>
    </row>
    <row r="77" spans="1:17" hidden="1" x14ac:dyDescent="0.25">
      <c r="A77" s="189" t="s">
        <v>96</v>
      </c>
      <c r="B77" s="190"/>
      <c r="C77" s="183">
        <f>SUM(C76:C76)</f>
        <v>0</v>
      </c>
      <c r="D77" s="184"/>
      <c r="E77" s="183">
        <f>SUM(E76:E76)</f>
        <v>0</v>
      </c>
      <c r="F77" s="184"/>
      <c r="G77" s="185" t="str">
        <f>IF(C77=0,"n/a",(+E77-C77)/C77)</f>
        <v>n/a</v>
      </c>
      <c r="H77" s="177"/>
      <c r="I77" s="186">
        <f>+E77/E$162</f>
        <v>0</v>
      </c>
      <c r="M77" s="304"/>
      <c r="P77" s="67"/>
    </row>
    <row r="78" spans="1:17" hidden="1" x14ac:dyDescent="0.25">
      <c r="A78" s="189"/>
      <c r="B78" s="190"/>
      <c r="C78" s="184"/>
      <c r="D78" s="184"/>
      <c r="E78" s="184"/>
      <c r="F78" s="184"/>
      <c r="G78" s="177"/>
      <c r="H78" s="177"/>
      <c r="I78" s="187"/>
      <c r="M78" s="304"/>
      <c r="P78" s="67"/>
    </row>
    <row r="79" spans="1:17" x14ac:dyDescent="0.25">
      <c r="A79" s="166" t="s">
        <v>97</v>
      </c>
      <c r="B79" s="214"/>
      <c r="C79" s="188"/>
      <c r="D79" s="188"/>
      <c r="E79" s="188"/>
      <c r="F79" s="200"/>
      <c r="G79" s="176"/>
      <c r="H79" s="177"/>
      <c r="I79" s="178"/>
      <c r="M79" s="304"/>
      <c r="P79" s="67"/>
    </row>
    <row r="80" spans="1:17" x14ac:dyDescent="0.25">
      <c r="A80" s="172" t="s">
        <v>53</v>
      </c>
      <c r="B80" s="214"/>
      <c r="C80" s="180">
        <v>39099</v>
      </c>
      <c r="D80" s="180"/>
      <c r="E80" s="180">
        <f>36012+M81</f>
        <v>36826</v>
      </c>
      <c r="F80" s="184"/>
      <c r="G80" s="176">
        <f>(+E80-C80)/C80</f>
        <v>-5.8134479142689072E-2</v>
      </c>
      <c r="H80" s="177"/>
      <c r="I80" s="178">
        <f>+E80/E$162</f>
        <v>7.2899410830984135E-5</v>
      </c>
      <c r="M80" s="304"/>
      <c r="P80" s="67">
        <v>0</v>
      </c>
      <c r="Q80" s="67">
        <v>27903</v>
      </c>
    </row>
    <row r="81" spans="1:18" x14ac:dyDescent="0.25">
      <c r="A81" s="189" t="s">
        <v>96</v>
      </c>
      <c r="B81" s="190"/>
      <c r="C81" s="183">
        <f>SUM(C80)</f>
        <v>39099</v>
      </c>
      <c r="D81" s="184"/>
      <c r="E81" s="183">
        <f>SUM(E80)</f>
        <v>36826</v>
      </c>
      <c r="F81" s="184"/>
      <c r="G81" s="185">
        <f>(+E81-C81)/C81</f>
        <v>-5.8134479142689072E-2</v>
      </c>
      <c r="H81" s="177"/>
      <c r="I81" s="186">
        <f>+E81/E$162</f>
        <v>7.2899410830984135E-5</v>
      </c>
      <c r="M81" s="304">
        <v>814</v>
      </c>
      <c r="P81" s="67"/>
    </row>
    <row r="82" spans="1:18" x14ac:dyDescent="0.25">
      <c r="A82" s="189"/>
      <c r="B82" s="190"/>
      <c r="C82" s="184"/>
      <c r="D82" s="184"/>
      <c r="E82" s="184"/>
      <c r="F82" s="184"/>
      <c r="G82" s="177"/>
      <c r="H82" s="177"/>
      <c r="I82" s="187"/>
      <c r="M82" s="304"/>
      <c r="P82" s="67"/>
    </row>
    <row r="83" spans="1:18" x14ac:dyDescent="0.25">
      <c r="A83" s="166" t="s">
        <v>76</v>
      </c>
      <c r="B83" s="214"/>
      <c r="C83" s="188"/>
      <c r="D83" s="188"/>
      <c r="E83" s="188"/>
      <c r="F83" s="200"/>
      <c r="G83" s="176"/>
      <c r="H83" s="177"/>
      <c r="I83" s="178"/>
      <c r="M83" s="304"/>
      <c r="P83" s="67"/>
    </row>
    <row r="84" spans="1:18" x14ac:dyDescent="0.25">
      <c r="A84" s="172" t="s">
        <v>53</v>
      </c>
      <c r="B84" s="214"/>
      <c r="C84" s="180">
        <v>6126576</v>
      </c>
      <c r="D84" s="180"/>
      <c r="E84" s="180">
        <f>7031166+M89</f>
        <v>7062110</v>
      </c>
      <c r="F84" s="184"/>
      <c r="G84" s="176">
        <f t="shared" ref="G84:G89" si="2">(+E84-C84)/C84</f>
        <v>0.15270095400758923</v>
      </c>
      <c r="H84" s="177"/>
      <c r="I84" s="178">
        <f t="shared" ref="I84:I89" si="3">+E84/E$162</f>
        <v>1.3979896220702802E-2</v>
      </c>
      <c r="J84" s="302"/>
      <c r="M84" s="304"/>
      <c r="P84" s="67">
        <v>3799834</v>
      </c>
      <c r="Q84" s="67">
        <v>1836615</v>
      </c>
      <c r="R84" s="49" t="s">
        <v>213</v>
      </c>
    </row>
    <row r="85" spans="1:18" x14ac:dyDescent="0.25">
      <c r="A85" s="172" t="s">
        <v>54</v>
      </c>
      <c r="B85" s="214"/>
      <c r="C85" s="180">
        <v>629270</v>
      </c>
      <c r="D85" s="180"/>
      <c r="E85" s="180">
        <v>620570</v>
      </c>
      <c r="F85" s="184"/>
      <c r="G85" s="176">
        <f t="shared" si="2"/>
        <v>-1.382554388418326E-2</v>
      </c>
      <c r="H85" s="177"/>
      <c r="I85" s="178">
        <f t="shared" si="3"/>
        <v>1.2284578118553148E-3</v>
      </c>
      <c r="M85" s="304"/>
      <c r="P85" s="67"/>
    </row>
    <row r="86" spans="1:18" x14ac:dyDescent="0.25">
      <c r="A86" s="172" t="s">
        <v>68</v>
      </c>
      <c r="B86" s="214"/>
      <c r="C86" s="180">
        <v>2517873</v>
      </c>
      <c r="D86" s="180"/>
      <c r="E86" s="180">
        <v>2569806</v>
      </c>
      <c r="F86" s="184"/>
      <c r="G86" s="176">
        <f t="shared" si="2"/>
        <v>2.0625742442132704E-2</v>
      </c>
      <c r="H86" s="177"/>
      <c r="I86" s="178">
        <f t="shared" si="3"/>
        <v>5.0870945351091084E-3</v>
      </c>
      <c r="M86" s="304"/>
      <c r="P86" s="67"/>
    </row>
    <row r="87" spans="1:18" x14ac:dyDescent="0.25">
      <c r="A87" s="172" t="s">
        <v>56</v>
      </c>
      <c r="B87" s="214"/>
      <c r="C87" s="180">
        <v>2218215</v>
      </c>
      <c r="D87" s="180"/>
      <c r="E87" s="180">
        <f>1969672+5000</f>
        <v>1974672</v>
      </c>
      <c r="F87" s="184"/>
      <c r="G87" s="176">
        <f t="shared" si="2"/>
        <v>-0.10979233302452648</v>
      </c>
      <c r="H87" s="177"/>
      <c r="I87" s="178">
        <f t="shared" si="3"/>
        <v>3.9089889041557897E-3</v>
      </c>
      <c r="M87" s="304"/>
      <c r="P87" s="67"/>
    </row>
    <row r="88" spans="1:18" hidden="1" x14ac:dyDescent="0.25">
      <c r="A88" s="172" t="s">
        <v>57</v>
      </c>
      <c r="B88" s="214"/>
      <c r="C88" s="180">
        <v>0</v>
      </c>
      <c r="D88" s="180"/>
      <c r="E88" s="180">
        <v>0</v>
      </c>
      <c r="F88" s="184"/>
      <c r="G88" s="176" t="e">
        <f t="shared" si="2"/>
        <v>#DIV/0!</v>
      </c>
      <c r="H88" s="177"/>
      <c r="I88" s="178">
        <f t="shared" si="3"/>
        <v>0</v>
      </c>
      <c r="M88" s="304"/>
      <c r="P88" s="67"/>
    </row>
    <row r="89" spans="1:18" x14ac:dyDescent="0.25">
      <c r="A89" s="189" t="s">
        <v>77</v>
      </c>
      <c r="B89" s="190"/>
      <c r="C89" s="183">
        <f>SUM(C84:C88)</f>
        <v>11491934</v>
      </c>
      <c r="D89" s="184"/>
      <c r="E89" s="183">
        <f>SUM(E84:E88)</f>
        <v>12227158</v>
      </c>
      <c r="F89" s="184"/>
      <c r="G89" s="185">
        <f t="shared" si="2"/>
        <v>6.3977394927607484E-2</v>
      </c>
      <c r="H89" s="177"/>
      <c r="I89" s="186">
        <f t="shared" si="3"/>
        <v>2.4204437471823013E-2</v>
      </c>
      <c r="M89" s="304">
        <v>30944</v>
      </c>
      <c r="P89" s="67"/>
    </row>
    <row r="90" spans="1:18" x14ac:dyDescent="0.25">
      <c r="A90" s="214"/>
      <c r="B90" s="214"/>
      <c r="C90" s="188"/>
      <c r="D90" s="188"/>
      <c r="E90" s="188"/>
      <c r="F90" s="200"/>
      <c r="G90" s="176"/>
      <c r="H90" s="177"/>
      <c r="I90" s="178"/>
      <c r="M90" s="304"/>
      <c r="P90" s="67"/>
    </row>
    <row r="91" spans="1:18" x14ac:dyDescent="0.25">
      <c r="A91" s="166" t="s">
        <v>78</v>
      </c>
      <c r="B91" s="214"/>
      <c r="C91" s="188"/>
      <c r="D91" s="188"/>
      <c r="E91" s="188"/>
      <c r="F91" s="200"/>
      <c r="G91" s="176"/>
      <c r="H91" s="177"/>
      <c r="I91" s="178"/>
      <c r="M91" s="304"/>
      <c r="P91" s="67"/>
    </row>
    <row r="92" spans="1:18" x14ac:dyDescent="0.25">
      <c r="A92" s="172" t="s">
        <v>53</v>
      </c>
      <c r="B92" s="214"/>
      <c r="C92" s="180">
        <v>8200701</v>
      </c>
      <c r="D92" s="180"/>
      <c r="E92" s="180">
        <f>7908736+M96</f>
        <v>8206914</v>
      </c>
      <c r="F92" s="184"/>
      <c r="G92" s="176">
        <f>(+E92-C92)/C92</f>
        <v>7.5761815971585843E-4</v>
      </c>
      <c r="H92" s="177"/>
      <c r="I92" s="178">
        <f>+E92/E$162</f>
        <v>1.6246108601003513E-2</v>
      </c>
      <c r="M92" s="304"/>
      <c r="P92" s="67">
        <v>0</v>
      </c>
      <c r="Q92" s="67">
        <v>6845451</v>
      </c>
    </row>
    <row r="93" spans="1:18" x14ac:dyDescent="0.25">
      <c r="A93" s="172" t="s">
        <v>54</v>
      </c>
      <c r="B93" s="214"/>
      <c r="C93" s="180">
        <v>1627640</v>
      </c>
      <c r="D93" s="180"/>
      <c r="E93" s="180">
        <v>1601993</v>
      </c>
      <c r="F93" s="184"/>
      <c r="G93" s="176">
        <f>(+E93-C93)/C93</f>
        <v>-1.57571698901477E-2</v>
      </c>
      <c r="H93" s="177"/>
      <c r="I93" s="178">
        <f>+E93/E$162</f>
        <v>3.1712471040938675E-3</v>
      </c>
      <c r="M93" s="304"/>
      <c r="P93" s="67"/>
    </row>
    <row r="94" spans="1:18" x14ac:dyDescent="0.25">
      <c r="A94" s="172" t="s">
        <v>68</v>
      </c>
      <c r="B94" s="214"/>
      <c r="C94" s="180">
        <v>351269</v>
      </c>
      <c r="D94" s="180"/>
      <c r="E94" s="180">
        <v>364459</v>
      </c>
      <c r="F94" s="184"/>
      <c r="G94" s="176">
        <f>(+E94-C94)/C94</f>
        <v>3.7549570272355372E-2</v>
      </c>
      <c r="H94" s="177"/>
      <c r="I94" s="178">
        <f>+E94/E$162</f>
        <v>7.2146978689104568E-4</v>
      </c>
      <c r="M94" s="304"/>
      <c r="P94" s="67"/>
    </row>
    <row r="95" spans="1:18" x14ac:dyDescent="0.25">
      <c r="A95" s="172" t="s">
        <v>56</v>
      </c>
      <c r="B95" s="214"/>
      <c r="C95" s="180">
        <v>1084864</v>
      </c>
      <c r="D95" s="180"/>
      <c r="E95" s="180">
        <f>925224+5000</f>
        <v>930224</v>
      </c>
      <c r="F95" s="184"/>
      <c r="G95" s="176">
        <f>(+E95-C95)/C95</f>
        <v>-0.14254321278980592</v>
      </c>
      <c r="H95" s="177"/>
      <c r="I95" s="178">
        <f>+E95/E$162</f>
        <v>1.8414376131222882E-3</v>
      </c>
      <c r="M95" s="304"/>
      <c r="P95" s="67"/>
    </row>
    <row r="96" spans="1:18" x14ac:dyDescent="0.25">
      <c r="A96" s="189" t="s">
        <v>79</v>
      </c>
      <c r="B96" s="190"/>
      <c r="C96" s="183">
        <f>SUM(C92:C95)</f>
        <v>11264474</v>
      </c>
      <c r="D96" s="184"/>
      <c r="E96" s="183">
        <f>SUM(E92:E95)</f>
        <v>11103590</v>
      </c>
      <c r="F96" s="184"/>
      <c r="G96" s="185">
        <f>(+E96-C96)/C96</f>
        <v>-1.4282424549961233E-2</v>
      </c>
      <c r="H96" s="177"/>
      <c r="I96" s="186">
        <f>+E96/E$162</f>
        <v>2.1980263105110715E-2</v>
      </c>
      <c r="M96" s="304">
        <v>298178</v>
      </c>
      <c r="P96" s="67"/>
    </row>
    <row r="97" spans="1:22" x14ac:dyDescent="0.25">
      <c r="A97" s="214"/>
      <c r="B97" s="214"/>
      <c r="C97" s="191"/>
      <c r="D97" s="191"/>
      <c r="E97" s="191"/>
      <c r="F97" s="194"/>
      <c r="G97" s="201"/>
      <c r="H97" s="202"/>
      <c r="I97" s="203"/>
      <c r="M97" s="304"/>
      <c r="P97" s="67"/>
    </row>
    <row r="98" spans="1:22" x14ac:dyDescent="0.25">
      <c r="A98" s="166" t="s">
        <v>186</v>
      </c>
      <c r="B98" s="214"/>
      <c r="C98" s="188"/>
      <c r="D98" s="188"/>
      <c r="E98" s="188"/>
      <c r="F98" s="200"/>
      <c r="G98" s="195"/>
      <c r="H98" s="196"/>
      <c r="I98" s="197"/>
      <c r="M98" s="304"/>
      <c r="P98" s="67"/>
    </row>
    <row r="99" spans="1:22" x14ac:dyDescent="0.25">
      <c r="A99" s="172" t="s">
        <v>80</v>
      </c>
      <c r="B99" s="214"/>
      <c r="C99" s="180">
        <v>8333607</v>
      </c>
      <c r="D99" s="180"/>
      <c r="E99" s="180">
        <f>7608038+M104</f>
        <v>7756962</v>
      </c>
      <c r="F99" s="184"/>
      <c r="G99" s="176">
        <f t="shared" ref="G99:G104" si="4">(+E99-C99)/C99</f>
        <v>-6.9195127632008566E-2</v>
      </c>
      <c r="H99" s="177"/>
      <c r="I99" s="178">
        <f t="shared" ref="I99:I104" si="5">+E99/E$162</f>
        <v>1.5355399979317123E-2</v>
      </c>
      <c r="M99" s="304"/>
      <c r="P99" s="67">
        <v>0</v>
      </c>
      <c r="Q99" s="67">
        <v>6708503</v>
      </c>
    </row>
    <row r="100" spans="1:22" x14ac:dyDescent="0.25">
      <c r="A100" s="172" t="s">
        <v>54</v>
      </c>
      <c r="B100" s="214"/>
      <c r="C100" s="180">
        <v>31531239</v>
      </c>
      <c r="D100" s="180"/>
      <c r="E100" s="180">
        <v>29791386</v>
      </c>
      <c r="F100" s="184"/>
      <c r="G100" s="176">
        <f t="shared" si="4"/>
        <v>-5.5178707059370551E-2</v>
      </c>
      <c r="H100" s="177"/>
      <c r="I100" s="178">
        <f t="shared" si="5"/>
        <v>5.8973944692294278E-2</v>
      </c>
      <c r="J100" s="302"/>
      <c r="M100" s="304"/>
      <c r="P100" s="67"/>
      <c r="R100" s="67">
        <v>0</v>
      </c>
      <c r="S100" s="31" t="s">
        <v>204</v>
      </c>
      <c r="T100" s="31"/>
      <c r="U100" s="31"/>
      <c r="V100" s="150"/>
    </row>
    <row r="101" spans="1:22" x14ac:dyDescent="0.25">
      <c r="A101" s="172" t="s">
        <v>68</v>
      </c>
      <c r="B101" s="214"/>
      <c r="C101" s="180">
        <v>2488772</v>
      </c>
      <c r="D101" s="180"/>
      <c r="E101" s="180">
        <v>2312522</v>
      </c>
      <c r="F101" s="184"/>
      <c r="G101" s="176">
        <f t="shared" si="4"/>
        <v>-7.081805806236971E-2</v>
      </c>
      <c r="H101" s="177"/>
      <c r="I101" s="178">
        <f t="shared" si="5"/>
        <v>4.5777844819879735E-3</v>
      </c>
      <c r="M101" s="304"/>
      <c r="P101" s="67"/>
    </row>
    <row r="102" spans="1:22" x14ac:dyDescent="0.25">
      <c r="A102" s="172" t="s">
        <v>56</v>
      </c>
      <c r="B102" s="214"/>
      <c r="C102" s="180">
        <v>1382860</v>
      </c>
      <c r="D102" s="180"/>
      <c r="E102" s="180">
        <v>3382860</v>
      </c>
      <c r="F102" s="184"/>
      <c r="G102" s="176">
        <f t="shared" si="4"/>
        <v>1.446278003557844</v>
      </c>
      <c r="H102" s="177"/>
      <c r="I102" s="178">
        <f t="shared" si="5"/>
        <v>6.6965866758187968E-3</v>
      </c>
      <c r="J102" s="302"/>
      <c r="M102" s="304"/>
      <c r="P102" s="67"/>
    </row>
    <row r="103" spans="1:22" x14ac:dyDescent="0.25">
      <c r="A103" s="172" t="s">
        <v>57</v>
      </c>
      <c r="B103" s="214"/>
      <c r="C103" s="180">
        <v>210000</v>
      </c>
      <c r="D103" s="180"/>
      <c r="E103" s="180">
        <v>210000</v>
      </c>
      <c r="F103" s="184"/>
      <c r="G103" s="176">
        <f t="shared" si="4"/>
        <v>0</v>
      </c>
      <c r="H103" s="177"/>
      <c r="I103" s="178">
        <f t="shared" si="5"/>
        <v>4.1570836567932085E-4</v>
      </c>
      <c r="M103" s="304"/>
      <c r="P103" s="67"/>
    </row>
    <row r="104" spans="1:22" x14ac:dyDescent="0.25">
      <c r="A104" s="189" t="s">
        <v>81</v>
      </c>
      <c r="B104" s="190"/>
      <c r="C104" s="183">
        <f>SUM(C99:C103)</f>
        <v>43946478</v>
      </c>
      <c r="D104" s="184"/>
      <c r="E104" s="183">
        <f>SUM(E99:E103)</f>
        <v>43453730</v>
      </c>
      <c r="F104" s="184"/>
      <c r="G104" s="185">
        <f t="shared" si="4"/>
        <v>-1.1212457116586225E-2</v>
      </c>
      <c r="H104" s="177"/>
      <c r="I104" s="186">
        <f t="shared" si="5"/>
        <v>8.6019424195097491E-2</v>
      </c>
      <c r="M104" s="304">
        <v>148924</v>
      </c>
      <c r="P104" s="67"/>
    </row>
    <row r="105" spans="1:22" x14ac:dyDescent="0.25">
      <c r="A105" s="214"/>
      <c r="B105" s="214"/>
      <c r="C105" s="167"/>
      <c r="D105" s="167"/>
      <c r="E105" s="167"/>
      <c r="F105" s="168"/>
      <c r="G105" s="176"/>
      <c r="H105" s="177"/>
      <c r="I105" s="178"/>
      <c r="M105" s="304"/>
      <c r="P105" s="67"/>
    </row>
    <row r="106" spans="1:22" x14ac:dyDescent="0.25">
      <c r="A106" s="394" t="s">
        <v>0</v>
      </c>
      <c r="B106" s="394"/>
      <c r="C106" s="394"/>
      <c r="D106" s="394"/>
      <c r="E106" s="394"/>
      <c r="F106" s="394"/>
      <c r="G106" s="394"/>
      <c r="H106" s="394"/>
      <c r="I106" s="394"/>
      <c r="M106" s="304"/>
      <c r="P106" s="67"/>
    </row>
    <row r="107" spans="1:22" x14ac:dyDescent="0.25">
      <c r="A107" s="394" t="str">
        <f>+A2</f>
        <v>General Fund</v>
      </c>
      <c r="B107" s="394"/>
      <c r="C107" s="394"/>
      <c r="D107" s="394"/>
      <c r="E107" s="394"/>
      <c r="F107" s="394"/>
      <c r="G107" s="394"/>
      <c r="H107" s="394"/>
      <c r="I107" s="394"/>
      <c r="M107" s="304"/>
      <c r="P107" s="67"/>
    </row>
    <row r="108" spans="1:22" x14ac:dyDescent="0.25">
      <c r="A108" s="391" t="s">
        <v>47</v>
      </c>
      <c r="B108" s="391"/>
      <c r="C108" s="391"/>
      <c r="D108" s="391"/>
      <c r="E108" s="391"/>
      <c r="F108" s="391"/>
      <c r="G108" s="391"/>
      <c r="H108" s="391"/>
      <c r="I108" s="391"/>
      <c r="M108" s="304"/>
      <c r="P108" s="67"/>
    </row>
    <row r="109" spans="1:22" x14ac:dyDescent="0.25">
      <c r="A109" s="391"/>
      <c r="B109" s="391"/>
      <c r="C109" s="391"/>
      <c r="D109" s="391"/>
      <c r="E109" s="391"/>
      <c r="F109" s="391"/>
      <c r="G109" s="391"/>
      <c r="H109" s="391"/>
      <c r="I109" s="391"/>
      <c r="M109" s="304"/>
      <c r="P109" s="67"/>
    </row>
    <row r="110" spans="1:22" x14ac:dyDescent="0.25">
      <c r="A110" s="214"/>
      <c r="B110" s="214"/>
      <c r="C110" s="155" t="str">
        <f>+C5</f>
        <v>General Fund</v>
      </c>
      <c r="D110" s="155"/>
      <c r="E110" s="155" t="str">
        <f>+E5</f>
        <v>General Fund</v>
      </c>
      <c r="F110" s="156"/>
      <c r="G110" s="157" t="s">
        <v>48</v>
      </c>
      <c r="H110" s="158"/>
      <c r="I110" s="159"/>
      <c r="M110" s="304"/>
      <c r="P110" s="67"/>
    </row>
    <row r="111" spans="1:22" x14ac:dyDescent="0.25">
      <c r="A111" s="214"/>
      <c r="B111" s="214"/>
      <c r="C111" s="155" t="str">
        <f>+C6</f>
        <v>Adopted Budget</v>
      </c>
      <c r="D111" s="285"/>
      <c r="E111" s="155" t="str">
        <f>+E6</f>
        <v>DRAFT Budget</v>
      </c>
      <c r="F111" s="161"/>
      <c r="G111" s="157" t="s">
        <v>49</v>
      </c>
      <c r="H111" s="158"/>
      <c r="I111" s="162" t="s">
        <v>48</v>
      </c>
      <c r="M111" s="304"/>
      <c r="P111" s="67"/>
    </row>
    <row r="112" spans="1:22" x14ac:dyDescent="0.25">
      <c r="A112" s="214"/>
      <c r="B112" s="214"/>
      <c r="C112" s="199" t="str">
        <f>+C7</f>
        <v>FY 2018-19</v>
      </c>
      <c r="D112" s="161"/>
      <c r="E112" s="199" t="str">
        <f>+E7</f>
        <v>FY 2019-20</v>
      </c>
      <c r="F112" s="161"/>
      <c r="G112" s="164" t="s">
        <v>50</v>
      </c>
      <c r="H112" s="158"/>
      <c r="I112" s="165" t="s">
        <v>51</v>
      </c>
      <c r="M112" s="304"/>
      <c r="P112" s="67"/>
    </row>
    <row r="113" spans="1:22" x14ac:dyDescent="0.25">
      <c r="A113" s="166" t="s">
        <v>82</v>
      </c>
      <c r="B113" s="214"/>
      <c r="C113" s="167"/>
      <c r="D113" s="167"/>
      <c r="E113" s="167"/>
      <c r="F113" s="168"/>
      <c r="G113" s="176"/>
      <c r="H113" s="177"/>
      <c r="I113" s="178"/>
      <c r="M113" s="304"/>
      <c r="P113" s="67"/>
    </row>
    <row r="114" spans="1:22" x14ac:dyDescent="0.25">
      <c r="A114" s="172" t="s">
        <v>80</v>
      </c>
      <c r="B114" s="214"/>
      <c r="C114" s="174">
        <v>810323</v>
      </c>
      <c r="D114" s="174"/>
      <c r="E114" s="174">
        <f>1132208+M119</f>
        <v>1154681</v>
      </c>
      <c r="F114" s="184"/>
      <c r="G114" s="176">
        <f>(+E114-C114)/C114</f>
        <v>0.424963872431117</v>
      </c>
      <c r="H114" s="177"/>
      <c r="I114" s="178">
        <f t="shared" ref="I114:I119" si="6">+E114/E$162</f>
        <v>2.2857645304331614E-3</v>
      </c>
      <c r="M114" s="304"/>
      <c r="P114" s="67">
        <v>0</v>
      </c>
      <c r="Q114" s="67">
        <v>889504</v>
      </c>
    </row>
    <row r="115" spans="1:22" x14ac:dyDescent="0.25">
      <c r="A115" s="172" t="s">
        <v>54</v>
      </c>
      <c r="B115" s="214"/>
      <c r="C115" s="180">
        <v>1816449</v>
      </c>
      <c r="D115" s="180"/>
      <c r="E115" s="180">
        <v>2133050</v>
      </c>
      <c r="F115" s="184"/>
      <c r="G115" s="176">
        <f>(+E115-C115)/C115</f>
        <v>0.17429666343508682</v>
      </c>
      <c r="H115" s="177"/>
      <c r="I115" s="178">
        <f t="shared" si="6"/>
        <v>4.2225082352965494E-3</v>
      </c>
      <c r="J115" s="302"/>
      <c r="M115" s="304"/>
      <c r="P115" s="67"/>
      <c r="R115" s="67">
        <v>0</v>
      </c>
      <c r="S115" s="31" t="s">
        <v>203</v>
      </c>
      <c r="T115" s="31"/>
      <c r="U115" s="31"/>
      <c r="V115" s="150"/>
    </row>
    <row r="116" spans="1:22" x14ac:dyDescent="0.25">
      <c r="A116" s="172" t="s">
        <v>68</v>
      </c>
      <c r="B116" s="214"/>
      <c r="C116" s="180">
        <v>123747</v>
      </c>
      <c r="D116" s="180"/>
      <c r="E116" s="180">
        <v>63336</v>
      </c>
      <c r="F116" s="184"/>
      <c r="G116" s="176">
        <f>(+E116-C116)/C116</f>
        <v>-0.48818153167349509</v>
      </c>
      <c r="H116" s="177"/>
      <c r="I116" s="178">
        <f t="shared" si="6"/>
        <v>1.2537764308888317E-4</v>
      </c>
      <c r="M116" s="304"/>
      <c r="P116" s="67"/>
    </row>
    <row r="117" spans="1:22" x14ac:dyDescent="0.25">
      <c r="A117" s="172" t="s">
        <v>56</v>
      </c>
      <c r="B117" s="214"/>
      <c r="C117" s="180">
        <v>13350</v>
      </c>
      <c r="D117" s="180"/>
      <c r="E117" s="180">
        <v>13200</v>
      </c>
      <c r="F117" s="184"/>
      <c r="G117" s="176">
        <f>(+E117-C117)/C117</f>
        <v>-1.1235955056179775E-2</v>
      </c>
      <c r="H117" s="177"/>
      <c r="I117" s="178">
        <f t="shared" si="6"/>
        <v>2.6130240128414452E-5</v>
      </c>
      <c r="M117" s="304"/>
      <c r="P117" s="67"/>
    </row>
    <row r="118" spans="1:22" x14ac:dyDescent="0.25">
      <c r="A118" s="172" t="s">
        <v>57</v>
      </c>
      <c r="B118" s="214"/>
      <c r="C118" s="269">
        <v>0</v>
      </c>
      <c r="D118" s="269"/>
      <c r="E118" s="269">
        <v>0</v>
      </c>
      <c r="F118" s="184"/>
      <c r="G118" s="176" t="str">
        <f>IF(C118=0,"n/a",(+E118-C118)/C118)</f>
        <v>n/a</v>
      </c>
      <c r="H118" s="177"/>
      <c r="I118" s="178">
        <f t="shared" si="6"/>
        <v>0</v>
      </c>
      <c r="M118" s="304"/>
      <c r="P118" s="67"/>
    </row>
    <row r="119" spans="1:22" x14ac:dyDescent="0.25">
      <c r="A119" s="189" t="s">
        <v>83</v>
      </c>
      <c r="B119" s="190"/>
      <c r="C119" s="183">
        <f>SUM(C114:C118)</f>
        <v>2763869</v>
      </c>
      <c r="D119" s="184"/>
      <c r="E119" s="183">
        <f>SUM(E114:E118)</f>
        <v>3364267</v>
      </c>
      <c r="F119" s="184"/>
      <c r="G119" s="185">
        <f>(+E119-C119)/C119</f>
        <v>0.21723099032551832</v>
      </c>
      <c r="H119" s="177"/>
      <c r="I119" s="186">
        <f t="shared" si="6"/>
        <v>6.6597806489470078E-3</v>
      </c>
      <c r="M119" s="304">
        <v>22473</v>
      </c>
      <c r="P119" s="67"/>
    </row>
    <row r="120" spans="1:22" x14ac:dyDescent="0.25">
      <c r="A120" s="214"/>
      <c r="B120" s="215"/>
      <c r="C120" s="188"/>
      <c r="D120" s="188"/>
      <c r="E120" s="188"/>
      <c r="F120" s="200"/>
      <c r="G120" s="176"/>
      <c r="H120" s="177"/>
      <c r="I120" s="178"/>
      <c r="M120" s="304"/>
      <c r="P120" s="67"/>
    </row>
    <row r="121" spans="1:22" x14ac:dyDescent="0.25">
      <c r="A121" s="166" t="s">
        <v>84</v>
      </c>
      <c r="B121" s="215"/>
      <c r="C121" s="188"/>
      <c r="D121" s="188"/>
      <c r="E121" s="188"/>
      <c r="F121" s="200"/>
      <c r="G121" s="176"/>
      <c r="H121" s="177"/>
      <c r="I121" s="178"/>
      <c r="M121" s="304"/>
      <c r="P121" s="67"/>
    </row>
    <row r="122" spans="1:22" x14ac:dyDescent="0.25">
      <c r="A122" s="172" t="s">
        <v>80</v>
      </c>
      <c r="B122" s="215"/>
      <c r="C122" s="180">
        <v>7232547</v>
      </c>
      <c r="D122" s="180"/>
      <c r="E122" s="180">
        <f>7324463+M127</f>
        <v>7484777</v>
      </c>
      <c r="F122" s="184"/>
      <c r="G122" s="176">
        <f>(+E122-C122)/C122</f>
        <v>3.4874298086137567E-2</v>
      </c>
      <c r="H122" s="177"/>
      <c r="I122" s="178">
        <f t="shared" ref="I122:I127" si="7">+E122/E$162</f>
        <v>1.4816592448305571E-2</v>
      </c>
      <c r="M122" s="304"/>
      <c r="P122" s="67">
        <v>0</v>
      </c>
      <c r="Q122" s="67">
        <v>6162507</v>
      </c>
    </row>
    <row r="123" spans="1:22" x14ac:dyDescent="0.25">
      <c r="A123" s="172" t="s">
        <v>54</v>
      </c>
      <c r="B123" s="215"/>
      <c r="C123" s="180">
        <v>4692496</v>
      </c>
      <c r="D123" s="180"/>
      <c r="E123" s="180">
        <v>4313296</v>
      </c>
      <c r="F123" s="184"/>
      <c r="G123" s="176">
        <f>(+E123-C123)/C123</f>
        <v>-8.0809871761211946E-2</v>
      </c>
      <c r="H123" s="177"/>
      <c r="I123" s="178">
        <f t="shared" si="7"/>
        <v>8.5384439564340567E-3</v>
      </c>
      <c r="M123" s="304"/>
      <c r="P123" s="67"/>
    </row>
    <row r="124" spans="1:22" x14ac:dyDescent="0.25">
      <c r="A124" s="172" t="s">
        <v>68</v>
      </c>
      <c r="B124" s="215"/>
      <c r="C124" s="180">
        <v>268050</v>
      </c>
      <c r="D124" s="180"/>
      <c r="E124" s="180">
        <v>268050</v>
      </c>
      <c r="F124" s="184"/>
      <c r="G124" s="176">
        <f>(+E124-C124)/C124</f>
        <v>0</v>
      </c>
      <c r="H124" s="177"/>
      <c r="I124" s="178">
        <f t="shared" si="7"/>
        <v>5.3062203533496164E-4</v>
      </c>
      <c r="M124" s="304"/>
      <c r="P124" s="67"/>
    </row>
    <row r="125" spans="1:22" x14ac:dyDescent="0.25">
      <c r="A125" s="172" t="s">
        <v>56</v>
      </c>
      <c r="B125" s="215"/>
      <c r="C125" s="180">
        <v>101198</v>
      </c>
      <c r="D125" s="180"/>
      <c r="E125" s="180">
        <v>101198</v>
      </c>
      <c r="F125" s="184"/>
      <c r="G125" s="176">
        <f>(+E125-C125)/C125</f>
        <v>0</v>
      </c>
      <c r="H125" s="177"/>
      <c r="I125" s="178">
        <f t="shared" si="7"/>
        <v>2.003278818572186E-4</v>
      </c>
      <c r="M125" s="304"/>
      <c r="P125" s="67"/>
    </row>
    <row r="126" spans="1:22" hidden="1" x14ac:dyDescent="0.25">
      <c r="A126" s="172" t="s">
        <v>57</v>
      </c>
      <c r="B126" s="215"/>
      <c r="C126" s="180">
        <v>0</v>
      </c>
      <c r="D126" s="180"/>
      <c r="E126" s="180">
        <v>0</v>
      </c>
      <c r="F126" s="184"/>
      <c r="G126" s="176">
        <v>0</v>
      </c>
      <c r="H126" s="177"/>
      <c r="I126" s="178">
        <f t="shared" si="7"/>
        <v>0</v>
      </c>
      <c r="M126" s="304"/>
      <c r="P126" s="67"/>
    </row>
    <row r="127" spans="1:22" x14ac:dyDescent="0.25">
      <c r="A127" s="189" t="s">
        <v>85</v>
      </c>
      <c r="B127" s="190"/>
      <c r="C127" s="183">
        <f>SUM(C122:C126)</f>
        <v>12294291</v>
      </c>
      <c r="D127" s="184"/>
      <c r="E127" s="183">
        <f>SUM(E122:E126)</f>
        <v>12167321</v>
      </c>
      <c r="F127" s="184"/>
      <c r="G127" s="185">
        <f>(+E127-C127)/C127</f>
        <v>-1.0327557725776948E-2</v>
      </c>
      <c r="H127" s="177"/>
      <c r="I127" s="186">
        <f t="shared" si="7"/>
        <v>2.4085986321931808E-2</v>
      </c>
      <c r="M127" s="304">
        <v>160314</v>
      </c>
      <c r="P127" s="67"/>
    </row>
    <row r="128" spans="1:22" x14ac:dyDescent="0.25">
      <c r="A128" s="214"/>
      <c r="B128" s="215"/>
      <c r="C128" s="188"/>
      <c r="D128" s="188"/>
      <c r="E128" s="188"/>
      <c r="F128" s="200"/>
      <c r="G128" s="176"/>
      <c r="H128" s="177"/>
      <c r="I128" s="178"/>
      <c r="M128" s="304"/>
      <c r="P128" s="67"/>
    </row>
    <row r="129" spans="1:17" x14ac:dyDescent="0.25">
      <c r="A129" s="166" t="s">
        <v>86</v>
      </c>
      <c r="B129" s="215"/>
      <c r="C129" s="188"/>
      <c r="D129" s="188"/>
      <c r="E129" s="188"/>
      <c r="F129" s="200"/>
      <c r="G129" s="176"/>
      <c r="H129" s="177"/>
      <c r="I129" s="178"/>
      <c r="M129" s="304"/>
      <c r="P129" s="67"/>
    </row>
    <row r="130" spans="1:17" x14ac:dyDescent="0.25">
      <c r="A130" s="172" t="s">
        <v>80</v>
      </c>
      <c r="B130" s="215"/>
      <c r="C130" s="180">
        <v>4933096</v>
      </c>
      <c r="D130" s="180"/>
      <c r="E130" s="180">
        <f>6579194+M134</f>
        <v>6709397</v>
      </c>
      <c r="F130" s="184"/>
      <c r="G130" s="176">
        <f>(+E130-C130)/C130</f>
        <v>0.36007833620103885</v>
      </c>
      <c r="H130" s="177"/>
      <c r="I130" s="178">
        <f>+E130/E$162</f>
        <v>1.3281678388398752E-2</v>
      </c>
      <c r="M130" s="304"/>
      <c r="P130" s="67">
        <v>0</v>
      </c>
      <c r="Q130" s="67">
        <v>7210811</v>
      </c>
    </row>
    <row r="131" spans="1:17" x14ac:dyDescent="0.25">
      <c r="A131" s="172" t="s">
        <v>54</v>
      </c>
      <c r="B131" s="215"/>
      <c r="C131" s="180">
        <v>525444</v>
      </c>
      <c r="D131" s="180"/>
      <c r="E131" s="180">
        <v>543019</v>
      </c>
      <c r="F131" s="184"/>
      <c r="G131" s="176">
        <f>(+E131-C131)/C131</f>
        <v>3.3447903106705951E-2</v>
      </c>
      <c r="H131" s="177"/>
      <c r="I131" s="178">
        <f>+E131/E$162</f>
        <v>1.0749406715372339E-3</v>
      </c>
      <c r="M131" s="304"/>
      <c r="P131" s="67"/>
    </row>
    <row r="132" spans="1:17" x14ac:dyDescent="0.25">
      <c r="A132" s="172" t="s">
        <v>68</v>
      </c>
      <c r="B132" s="215"/>
      <c r="C132" s="180">
        <v>468079</v>
      </c>
      <c r="D132" s="180"/>
      <c r="E132" s="180">
        <v>476104</v>
      </c>
      <c r="F132" s="184"/>
      <c r="G132" s="176">
        <f>(+E132-C132)/C132</f>
        <v>1.7144541840159459E-2</v>
      </c>
      <c r="H132" s="177"/>
      <c r="I132" s="178">
        <f>+E132/E$162</f>
        <v>9.4247817015898744E-4</v>
      </c>
      <c r="M132" s="304"/>
      <c r="P132" s="67"/>
    </row>
    <row r="133" spans="1:17" x14ac:dyDescent="0.25">
      <c r="A133" s="172" t="s">
        <v>56</v>
      </c>
      <c r="B133" s="215"/>
      <c r="C133" s="180">
        <v>570208</v>
      </c>
      <c r="D133" s="180"/>
      <c r="E133" s="180">
        <v>640453</v>
      </c>
      <c r="F133" s="184"/>
      <c r="G133" s="176">
        <f>(+E133-C133)/C133</f>
        <v>0.12319188787249565</v>
      </c>
      <c r="H133" s="177"/>
      <c r="I133" s="178">
        <f>+E133/E$162</f>
        <v>1.2678174758305623E-3</v>
      </c>
      <c r="J133" s="302"/>
      <c r="M133" s="304"/>
      <c r="P133" s="67"/>
    </row>
    <row r="134" spans="1:17" x14ac:dyDescent="0.25">
      <c r="A134" s="189" t="s">
        <v>87</v>
      </c>
      <c r="B134" s="190"/>
      <c r="C134" s="183">
        <f>SUM(C130:C133)</f>
        <v>6496827</v>
      </c>
      <c r="D134" s="184"/>
      <c r="E134" s="183">
        <f>SUM(E130:E133)</f>
        <v>8368973</v>
      </c>
      <c r="F134" s="184"/>
      <c r="G134" s="185">
        <f>(+E134-C134)/C134</f>
        <v>0.28816312947843614</v>
      </c>
      <c r="H134" s="177"/>
      <c r="I134" s="186">
        <f>+E134/E$162</f>
        <v>1.6566914705925535E-2</v>
      </c>
      <c r="M134" s="304">
        <v>130203</v>
      </c>
      <c r="P134" s="67"/>
    </row>
    <row r="135" spans="1:17" x14ac:dyDescent="0.25">
      <c r="A135" s="189"/>
      <c r="B135" s="190"/>
      <c r="C135" s="184"/>
      <c r="D135" s="184"/>
      <c r="E135" s="184"/>
      <c r="F135" s="184"/>
      <c r="G135" s="177"/>
      <c r="H135" s="177"/>
      <c r="I135" s="187"/>
      <c r="M135" s="304"/>
      <c r="P135" s="67"/>
    </row>
    <row r="136" spans="1:17" x14ac:dyDescent="0.25">
      <c r="A136" s="166" t="s">
        <v>158</v>
      </c>
      <c r="B136" s="215"/>
      <c r="C136" s="180"/>
      <c r="D136" s="180"/>
      <c r="E136" s="180"/>
      <c r="F136" s="184"/>
      <c r="G136" s="176"/>
      <c r="H136" s="177"/>
      <c r="I136" s="205"/>
      <c r="M136" s="304"/>
      <c r="P136" s="67"/>
    </row>
    <row r="137" spans="1:17" hidden="1" x14ac:dyDescent="0.25">
      <c r="A137" s="172" t="s">
        <v>53</v>
      </c>
      <c r="B137" s="215"/>
      <c r="C137" s="180">
        <v>0</v>
      </c>
      <c r="D137" s="180"/>
      <c r="E137" s="180">
        <v>0</v>
      </c>
      <c r="F137" s="184"/>
      <c r="G137" s="176" t="e">
        <f>(+E137-C137)/C137</f>
        <v>#DIV/0!</v>
      </c>
      <c r="H137" s="177"/>
      <c r="I137" s="178">
        <f>+E137/E$162</f>
        <v>0</v>
      </c>
      <c r="M137" s="304"/>
      <c r="P137" s="67"/>
    </row>
    <row r="138" spans="1:17" x14ac:dyDescent="0.25">
      <c r="A138" s="172" t="s">
        <v>159</v>
      </c>
      <c r="B138" s="215"/>
      <c r="C138" s="180">
        <v>0</v>
      </c>
      <c r="D138" s="180"/>
      <c r="E138" s="269">
        <v>0</v>
      </c>
      <c r="F138" s="184"/>
      <c r="G138" s="176">
        <v>0</v>
      </c>
      <c r="H138" s="177"/>
      <c r="I138" s="178">
        <f>+E138/E$162</f>
        <v>0</v>
      </c>
      <c r="M138" s="304"/>
      <c r="P138" s="67"/>
    </row>
    <row r="139" spans="1:17" x14ac:dyDescent="0.25">
      <c r="A139" s="189" t="s">
        <v>164</v>
      </c>
      <c r="B139" s="190"/>
      <c r="C139" s="183">
        <f>SUM(C137:C138)</f>
        <v>0</v>
      </c>
      <c r="D139" s="184"/>
      <c r="E139" s="270">
        <f>SUM(E137:E138)</f>
        <v>0</v>
      </c>
      <c r="F139" s="184"/>
      <c r="G139" s="185">
        <v>0</v>
      </c>
      <c r="H139" s="177"/>
      <c r="I139" s="186">
        <f>+E139/E$162</f>
        <v>0</v>
      </c>
      <c r="M139" s="304"/>
      <c r="P139" s="67"/>
    </row>
    <row r="140" spans="1:17" x14ac:dyDescent="0.25">
      <c r="A140" s="189"/>
      <c r="B140" s="190"/>
      <c r="C140" s="184"/>
      <c r="D140" s="184"/>
      <c r="E140" s="184"/>
      <c r="F140" s="184"/>
      <c r="G140" s="177"/>
      <c r="H140" s="177"/>
      <c r="I140" s="187"/>
      <c r="M140" s="304"/>
      <c r="P140" s="67"/>
    </row>
    <row r="141" spans="1:17" x14ac:dyDescent="0.25">
      <c r="A141" s="166" t="s">
        <v>200</v>
      </c>
      <c r="B141" s="215"/>
      <c r="C141" s="188"/>
      <c r="D141" s="188"/>
      <c r="E141" s="188"/>
      <c r="F141" s="200"/>
      <c r="G141" s="176"/>
      <c r="H141" s="177"/>
      <c r="I141" s="197"/>
      <c r="M141" s="304"/>
      <c r="P141" s="67"/>
    </row>
    <row r="142" spans="1:17" x14ac:dyDescent="0.25">
      <c r="A142" s="172" t="s">
        <v>54</v>
      </c>
      <c r="B142" s="190"/>
      <c r="C142" s="271">
        <v>34476000</v>
      </c>
      <c r="D142" s="184"/>
      <c r="E142" s="184">
        <v>20936535</v>
      </c>
      <c r="F142" s="184"/>
      <c r="G142" s="176">
        <v>1</v>
      </c>
      <c r="H142" s="177"/>
      <c r="I142" s="178">
        <f>+E142/E$162</f>
        <v>4.1445203561132855E-2</v>
      </c>
      <c r="M142" s="304"/>
      <c r="P142" s="67"/>
    </row>
    <row r="143" spans="1:17" x14ac:dyDescent="0.25">
      <c r="A143" s="189" t="s">
        <v>175</v>
      </c>
      <c r="B143" s="190"/>
      <c r="C143" s="270">
        <f>SUM(C141:C142)</f>
        <v>34476000</v>
      </c>
      <c r="D143" s="184"/>
      <c r="E143" s="183">
        <f>SUM(E141:E142)</f>
        <v>20936535</v>
      </c>
      <c r="F143" s="184"/>
      <c r="G143" s="185">
        <v>1</v>
      </c>
      <c r="H143" s="177"/>
      <c r="I143" s="186">
        <f>+E143/E$162</f>
        <v>4.1445203561132855E-2</v>
      </c>
      <c r="M143" s="304"/>
      <c r="P143" s="67"/>
    </row>
    <row r="144" spans="1:17" x14ac:dyDescent="0.25">
      <c r="A144" s="214"/>
      <c r="B144" s="215"/>
      <c r="C144" s="188"/>
      <c r="D144" s="188"/>
      <c r="E144" s="188"/>
      <c r="F144" s="200"/>
      <c r="G144" s="176"/>
      <c r="H144" s="177"/>
      <c r="I144" s="178"/>
      <c r="M144" s="304"/>
      <c r="P144" s="67"/>
    </row>
    <row r="145" spans="1:16" hidden="1" x14ac:dyDescent="0.25">
      <c r="A145" s="166" t="s">
        <v>154</v>
      </c>
      <c r="B145" s="215"/>
      <c r="C145" s="180"/>
      <c r="D145" s="180"/>
      <c r="E145" s="180"/>
      <c r="F145" s="184"/>
      <c r="G145" s="176"/>
      <c r="H145" s="177"/>
      <c r="I145" s="205"/>
      <c r="M145" s="304"/>
      <c r="P145" s="67"/>
    </row>
    <row r="146" spans="1:16" hidden="1" x14ac:dyDescent="0.25">
      <c r="A146" s="172" t="s">
        <v>53</v>
      </c>
      <c r="B146" s="215"/>
      <c r="C146" s="180">
        <v>0</v>
      </c>
      <c r="D146" s="180"/>
      <c r="E146" s="180">
        <v>0</v>
      </c>
      <c r="F146" s="184"/>
      <c r="G146" s="176" t="e">
        <f>(+E146-C146)/C146</f>
        <v>#DIV/0!</v>
      </c>
      <c r="H146" s="177"/>
      <c r="I146" s="178">
        <f>+E146/E$162</f>
        <v>0</v>
      </c>
      <c r="M146" s="304"/>
      <c r="P146" s="67"/>
    </row>
    <row r="147" spans="1:16" hidden="1" x14ac:dyDescent="0.25">
      <c r="A147" s="172" t="s">
        <v>57</v>
      </c>
      <c r="B147" s="215"/>
      <c r="C147" s="180">
        <v>0</v>
      </c>
      <c r="D147" s="180"/>
      <c r="E147" s="180">
        <v>0</v>
      </c>
      <c r="F147" s="184"/>
      <c r="G147" s="176">
        <v>0</v>
      </c>
      <c r="H147" s="177"/>
      <c r="I147" s="178">
        <f>+E147/E$162</f>
        <v>0</v>
      </c>
      <c r="M147" s="304"/>
      <c r="P147" s="67"/>
    </row>
    <row r="148" spans="1:16" hidden="1" x14ac:dyDescent="0.25">
      <c r="A148" s="189" t="s">
        <v>88</v>
      </c>
      <c r="B148" s="190"/>
      <c r="C148" s="183">
        <f>SUM(C146:C147)</f>
        <v>0</v>
      </c>
      <c r="D148" s="184"/>
      <c r="E148" s="183">
        <f>SUM(E146:E147)</f>
        <v>0</v>
      </c>
      <c r="F148" s="184"/>
      <c r="G148" s="185" t="e">
        <f>(+E148-C148)/C148</f>
        <v>#DIV/0!</v>
      </c>
      <c r="H148" s="177"/>
      <c r="I148" s="186">
        <f>+E148/E$162</f>
        <v>0</v>
      </c>
      <c r="M148" s="304"/>
      <c r="P148" s="67"/>
    </row>
    <row r="149" spans="1:16" hidden="1" x14ac:dyDescent="0.25">
      <c r="A149" s="189"/>
      <c r="B149" s="190"/>
      <c r="C149" s="184"/>
      <c r="D149" s="184"/>
      <c r="E149" s="184"/>
      <c r="F149" s="184"/>
      <c r="G149" s="177"/>
      <c r="H149" s="177"/>
      <c r="I149" s="187"/>
      <c r="M149" s="304"/>
      <c r="P149" s="67"/>
    </row>
    <row r="150" spans="1:16" x14ac:dyDescent="0.25">
      <c r="A150" s="166" t="s">
        <v>89</v>
      </c>
      <c r="B150" s="215"/>
      <c r="C150" s="188"/>
      <c r="D150" s="188"/>
      <c r="E150" s="188"/>
      <c r="F150" s="200"/>
      <c r="G150" s="176"/>
      <c r="H150" s="177"/>
      <c r="I150" s="197"/>
      <c r="M150" s="304"/>
      <c r="P150" s="67"/>
    </row>
    <row r="151" spans="1:16" x14ac:dyDescent="0.25">
      <c r="A151" s="172" t="s">
        <v>90</v>
      </c>
      <c r="B151" s="215"/>
      <c r="C151" s="180">
        <v>210000</v>
      </c>
      <c r="D151" s="180"/>
      <c r="E151" s="180">
        <v>210000</v>
      </c>
      <c r="F151" s="184"/>
      <c r="G151" s="176">
        <f>(+E151-C151)/C151</f>
        <v>0</v>
      </c>
      <c r="H151" s="177"/>
      <c r="I151" s="178">
        <f>+E151/E$162</f>
        <v>4.1570836567932085E-4</v>
      </c>
      <c r="M151" s="304"/>
      <c r="P151" s="67"/>
    </row>
    <row r="152" spans="1:16" x14ac:dyDescent="0.25">
      <c r="A152" s="189" t="s">
        <v>91</v>
      </c>
      <c r="B152" s="190"/>
      <c r="C152" s="183">
        <f>SUM(C151)</f>
        <v>210000</v>
      </c>
      <c r="D152" s="184"/>
      <c r="E152" s="183">
        <f>SUM(E151)</f>
        <v>210000</v>
      </c>
      <c r="F152" s="184"/>
      <c r="G152" s="185">
        <f>(+E152-C152)/C152</f>
        <v>0</v>
      </c>
      <c r="H152" s="177"/>
      <c r="I152" s="186">
        <f>+E152/E$162</f>
        <v>4.1570836567932085E-4</v>
      </c>
      <c r="M152" s="304"/>
      <c r="P152" s="67"/>
    </row>
    <row r="153" spans="1:16" x14ac:dyDescent="0.25">
      <c r="A153" s="214"/>
      <c r="B153" s="215"/>
      <c r="C153" s="188"/>
      <c r="D153" s="188"/>
      <c r="E153" s="188"/>
      <c r="F153" s="200"/>
      <c r="G153" s="176"/>
      <c r="H153" s="177"/>
      <c r="I153" s="197"/>
      <c r="M153" s="304"/>
      <c r="P153" s="67"/>
    </row>
    <row r="154" spans="1:16" x14ac:dyDescent="0.25">
      <c r="A154" s="166" t="s">
        <v>202</v>
      </c>
      <c r="B154" s="189"/>
      <c r="C154" s="188"/>
      <c r="D154" s="188"/>
      <c r="E154" s="188"/>
      <c r="F154" s="200"/>
      <c r="G154" s="176"/>
      <c r="H154" s="177"/>
      <c r="I154" s="197"/>
      <c r="M154" s="304"/>
      <c r="P154" s="67"/>
    </row>
    <row r="155" spans="1:16" x14ac:dyDescent="0.25">
      <c r="A155" s="172" t="s">
        <v>54</v>
      </c>
      <c r="B155" s="215"/>
      <c r="C155" s="180">
        <v>200000</v>
      </c>
      <c r="D155" s="180"/>
      <c r="E155" s="180">
        <v>200000</v>
      </c>
      <c r="F155" s="184"/>
      <c r="G155" s="176">
        <f>(+E155-C155)/C155</f>
        <v>0</v>
      </c>
      <c r="H155" s="177"/>
      <c r="I155" s="178">
        <f>+E155/E$162</f>
        <v>3.9591272921840078E-4</v>
      </c>
      <c r="M155" s="304"/>
      <c r="P155" s="67"/>
    </row>
    <row r="156" spans="1:16" x14ac:dyDescent="0.25">
      <c r="A156" s="189" t="s">
        <v>92</v>
      </c>
      <c r="B156" s="189"/>
      <c r="C156" s="183">
        <f>SUM(C155)</f>
        <v>200000</v>
      </c>
      <c r="D156" s="184"/>
      <c r="E156" s="183">
        <f>SUM(E155)</f>
        <v>200000</v>
      </c>
      <c r="F156" s="184"/>
      <c r="G156" s="185">
        <f>(+E156-C156)/C156</f>
        <v>0</v>
      </c>
      <c r="H156" s="177"/>
      <c r="I156" s="186">
        <f>+E156/E$162</f>
        <v>3.9591272921840078E-4</v>
      </c>
      <c r="M156" s="304"/>
      <c r="P156" s="67"/>
    </row>
    <row r="157" spans="1:16" x14ac:dyDescent="0.25">
      <c r="A157" s="214"/>
      <c r="B157" s="215"/>
      <c r="C157" s="180"/>
      <c r="D157" s="180"/>
      <c r="E157" s="180"/>
      <c r="F157" s="206"/>
      <c r="G157" s="176"/>
      <c r="H157" s="177"/>
      <c r="I157" s="178"/>
      <c r="M157" s="304"/>
      <c r="P157" s="67"/>
    </row>
    <row r="158" spans="1:16" x14ac:dyDescent="0.25">
      <c r="A158" s="166" t="s">
        <v>93</v>
      </c>
      <c r="B158" s="189"/>
      <c r="C158" s="188"/>
      <c r="D158" s="188"/>
      <c r="E158" s="188"/>
      <c r="F158" s="200"/>
      <c r="G158" s="176"/>
      <c r="H158" s="177"/>
      <c r="I158" s="197"/>
      <c r="M158" s="304"/>
      <c r="P158" s="67"/>
    </row>
    <row r="159" spans="1:16" x14ac:dyDescent="0.25">
      <c r="A159" s="172" t="s">
        <v>54</v>
      </c>
      <c r="B159" s="215"/>
      <c r="C159" s="180">
        <v>3282088</v>
      </c>
      <c r="D159" s="180"/>
      <c r="E159" s="180">
        <v>3662088</v>
      </c>
      <c r="F159" s="184"/>
      <c r="G159" s="176">
        <f>(+E159-C159)/C159</f>
        <v>0.11577995471175666</v>
      </c>
      <c r="H159" s="177"/>
      <c r="I159" s="178">
        <f>+E159/E$162</f>
        <v>7.2493362735897744E-3</v>
      </c>
      <c r="M159" s="304"/>
      <c r="P159" s="67"/>
    </row>
    <row r="160" spans="1:16" x14ac:dyDescent="0.25">
      <c r="A160" s="189" t="s">
        <v>94</v>
      </c>
      <c r="B160" s="189"/>
      <c r="C160" s="183">
        <f>SUM(C159)</f>
        <v>3282088</v>
      </c>
      <c r="D160" s="184"/>
      <c r="E160" s="183">
        <f>SUM(E159)</f>
        <v>3662088</v>
      </c>
      <c r="F160" s="184"/>
      <c r="G160" s="185">
        <f>(+E160-C160)/C160</f>
        <v>0.11577995471175666</v>
      </c>
      <c r="H160" s="177"/>
      <c r="I160" s="186">
        <f>+E160/E$162</f>
        <v>7.2493362735897744E-3</v>
      </c>
      <c r="M160" s="304"/>
      <c r="P160" s="67"/>
    </row>
    <row r="161" spans="1:17" x14ac:dyDescent="0.25">
      <c r="A161" s="214"/>
      <c r="B161" s="215"/>
      <c r="C161" s="180"/>
      <c r="D161" s="180"/>
      <c r="E161" s="180"/>
      <c r="F161" s="206"/>
      <c r="G161" s="176"/>
      <c r="H161" s="177"/>
      <c r="I161" s="178"/>
      <c r="M161" s="304"/>
      <c r="P161" s="67"/>
    </row>
    <row r="162" spans="1:17" ht="15.75" thickBot="1" x14ac:dyDescent="0.3">
      <c r="A162" s="189" t="s">
        <v>95</v>
      </c>
      <c r="B162" s="190"/>
      <c r="C162" s="207">
        <f>C14+C21+C28+C35+C42+C49+C61+C68+C73+C81+C89+C96+C104+C119+C127+C134+C139+C143+C152+C156+C160</f>
        <v>498509815</v>
      </c>
      <c r="D162" s="208"/>
      <c r="E162" s="291">
        <f>E14+E21+E28+E35+E42+E49+E61+E68+E73+E81+E89+E96+E104+E119+E127+E134+E139+E143+E152+E156+E160</f>
        <v>505161833</v>
      </c>
      <c r="F162" s="184"/>
      <c r="G162" s="209">
        <f>(+E162-C162)/C162</f>
        <v>1.3343805477531069E-2</v>
      </c>
      <c r="H162" s="177"/>
      <c r="I162" s="210">
        <f>+E162/E$162</f>
        <v>1</v>
      </c>
      <c r="M162" s="305">
        <f>SUM(M14:M161)</f>
        <v>8264009</v>
      </c>
      <c r="P162" s="67">
        <f>SUM(P8:P161)</f>
        <v>8500000</v>
      </c>
      <c r="Q162" s="67">
        <f>SUM(Q8:Q161)</f>
        <v>380543685</v>
      </c>
    </row>
    <row r="163" spans="1:17" ht="15.75" thickTop="1" x14ac:dyDescent="0.25">
      <c r="M163" s="303">
        <v>2.5000000000000001E-2</v>
      </c>
      <c r="P163" s="67"/>
    </row>
    <row r="164" spans="1:17" x14ac:dyDescent="0.25">
      <c r="P164" s="67"/>
    </row>
    <row r="165" spans="1:17" x14ac:dyDescent="0.25">
      <c r="P165" s="67"/>
    </row>
    <row r="166" spans="1:17" x14ac:dyDescent="0.25">
      <c r="P166" s="67"/>
    </row>
    <row r="167" spans="1:17" x14ac:dyDescent="0.25">
      <c r="P167" s="67"/>
    </row>
    <row r="168" spans="1:17" x14ac:dyDescent="0.25">
      <c r="P168" s="67"/>
    </row>
    <row r="169" spans="1:17" x14ac:dyDescent="0.25">
      <c r="P169" s="67"/>
    </row>
    <row r="170" spans="1:17" x14ac:dyDescent="0.25">
      <c r="P170" s="67"/>
    </row>
    <row r="171" spans="1:17" x14ac:dyDescent="0.25">
      <c r="P171" s="67"/>
    </row>
    <row r="172" spans="1:17" x14ac:dyDescent="0.25">
      <c r="P172" s="67"/>
    </row>
    <row r="173" spans="1:17" x14ac:dyDescent="0.25">
      <c r="P173" s="67"/>
    </row>
    <row r="174" spans="1:17" x14ac:dyDescent="0.25">
      <c r="P174" s="67"/>
    </row>
    <row r="175" spans="1:17" x14ac:dyDescent="0.25">
      <c r="P175" s="67"/>
    </row>
    <row r="176" spans="1:17" x14ac:dyDescent="0.25">
      <c r="P176" s="67"/>
    </row>
    <row r="177" spans="16:16" x14ac:dyDescent="0.25">
      <c r="P177" s="67"/>
    </row>
    <row r="178" spans="16:16" x14ac:dyDescent="0.25">
      <c r="P178" s="67"/>
    </row>
    <row r="179" spans="16:16" x14ac:dyDescent="0.25">
      <c r="P179" s="67"/>
    </row>
    <row r="180" spans="16:16" x14ac:dyDescent="0.25">
      <c r="P180" s="67"/>
    </row>
    <row r="181" spans="16:16" x14ac:dyDescent="0.25">
      <c r="P181" s="67"/>
    </row>
    <row r="182" spans="16:16" x14ac:dyDescent="0.25">
      <c r="P182" s="67"/>
    </row>
    <row r="183" spans="16:16" x14ac:dyDescent="0.25">
      <c r="P183" s="67"/>
    </row>
    <row r="184" spans="16:16" x14ac:dyDescent="0.25">
      <c r="P184" s="67"/>
    </row>
    <row r="185" spans="16:16" x14ac:dyDescent="0.25">
      <c r="P185" s="67"/>
    </row>
    <row r="186" spans="16:16" x14ac:dyDescent="0.25">
      <c r="P186" s="67"/>
    </row>
    <row r="187" spans="16:16" x14ac:dyDescent="0.25">
      <c r="P187" s="67"/>
    </row>
    <row r="188" spans="16:16" x14ac:dyDescent="0.25">
      <c r="P188" s="67"/>
    </row>
    <row r="189" spans="16:16" x14ac:dyDescent="0.25">
      <c r="P189" s="67"/>
    </row>
    <row r="190" spans="16:16" x14ac:dyDescent="0.25">
      <c r="P190" s="67"/>
    </row>
    <row r="191" spans="16:16" x14ac:dyDescent="0.25">
      <c r="P191" s="67"/>
    </row>
    <row r="192" spans="16:16" x14ac:dyDescent="0.25">
      <c r="P192" s="67"/>
    </row>
    <row r="193" spans="16:16" x14ac:dyDescent="0.25">
      <c r="P193" s="67"/>
    </row>
    <row r="194" spans="16:16" x14ac:dyDescent="0.25">
      <c r="P194" s="67"/>
    </row>
    <row r="195" spans="16:16" x14ac:dyDescent="0.25">
      <c r="P195" s="67"/>
    </row>
    <row r="196" spans="16:16" x14ac:dyDescent="0.25">
      <c r="P196" s="67"/>
    </row>
    <row r="197" spans="16:16" x14ac:dyDescent="0.25">
      <c r="P197" s="67"/>
    </row>
    <row r="198" spans="16:16" x14ac:dyDescent="0.25">
      <c r="P198" s="67"/>
    </row>
    <row r="199" spans="16:16" x14ac:dyDescent="0.25">
      <c r="P199" s="67"/>
    </row>
    <row r="200" spans="16:16" x14ac:dyDescent="0.25">
      <c r="P200" s="67"/>
    </row>
    <row r="201" spans="16:16" x14ac:dyDescent="0.25">
      <c r="P201" s="67"/>
    </row>
    <row r="202" spans="16:16" x14ac:dyDescent="0.25">
      <c r="P202" s="67"/>
    </row>
    <row r="203" spans="16:16" x14ac:dyDescent="0.25">
      <c r="P203" s="67"/>
    </row>
    <row r="204" spans="16:16" x14ac:dyDescent="0.25">
      <c r="P204" s="67"/>
    </row>
    <row r="205" spans="16:16" x14ac:dyDescent="0.25">
      <c r="P205" s="67"/>
    </row>
    <row r="206" spans="16:16" x14ac:dyDescent="0.25">
      <c r="P206" s="67"/>
    </row>
    <row r="207" spans="16:16" x14ac:dyDescent="0.25">
      <c r="P207" s="67"/>
    </row>
    <row r="208" spans="16:16" x14ac:dyDescent="0.25">
      <c r="P208" s="67"/>
    </row>
    <row r="209" spans="16:16" x14ac:dyDescent="0.25">
      <c r="P209" s="67"/>
    </row>
    <row r="210" spans="16:16" x14ac:dyDescent="0.25">
      <c r="P210" s="67"/>
    </row>
    <row r="211" spans="16:16" x14ac:dyDescent="0.25">
      <c r="P211" s="67"/>
    </row>
    <row r="212" spans="16:16" x14ac:dyDescent="0.25">
      <c r="P212" s="67"/>
    </row>
    <row r="213" spans="16:16" x14ac:dyDescent="0.25">
      <c r="P213" s="67"/>
    </row>
    <row r="214" spans="16:16" x14ac:dyDescent="0.25">
      <c r="P214" s="67"/>
    </row>
    <row r="215" spans="16:16" x14ac:dyDescent="0.25">
      <c r="P215" s="67"/>
    </row>
    <row r="216" spans="16:16" x14ac:dyDescent="0.25">
      <c r="P216" s="67"/>
    </row>
    <row r="217" spans="16:16" x14ac:dyDescent="0.25">
      <c r="P217" s="67"/>
    </row>
    <row r="218" spans="16:16" x14ac:dyDescent="0.25">
      <c r="P218" s="67"/>
    </row>
    <row r="219" spans="16:16" x14ac:dyDescent="0.25">
      <c r="P219" s="67"/>
    </row>
    <row r="220" spans="16:16" x14ac:dyDescent="0.25">
      <c r="P220" s="67"/>
    </row>
    <row r="221" spans="16:16" x14ac:dyDescent="0.25">
      <c r="P221" s="67"/>
    </row>
    <row r="222" spans="16:16" x14ac:dyDescent="0.25">
      <c r="P222" s="67"/>
    </row>
    <row r="223" spans="16:16" x14ac:dyDescent="0.25">
      <c r="P223" s="67"/>
    </row>
    <row r="224" spans="16:16" x14ac:dyDescent="0.25">
      <c r="P224" s="67"/>
    </row>
    <row r="225" spans="16:16" x14ac:dyDescent="0.25">
      <c r="P225" s="67"/>
    </row>
    <row r="226" spans="16:16" x14ac:dyDescent="0.25">
      <c r="P226" s="67"/>
    </row>
    <row r="227" spans="16:16" x14ac:dyDescent="0.25">
      <c r="P227" s="67"/>
    </row>
    <row r="228" spans="16:16" x14ac:dyDescent="0.25">
      <c r="P228" s="67"/>
    </row>
    <row r="229" spans="16:16" x14ac:dyDescent="0.25">
      <c r="P229" s="67"/>
    </row>
    <row r="230" spans="16:16" x14ac:dyDescent="0.25">
      <c r="P230" s="67"/>
    </row>
    <row r="231" spans="16:16" x14ac:dyDescent="0.25">
      <c r="P231" s="67"/>
    </row>
    <row r="232" spans="16:16" x14ac:dyDescent="0.25">
      <c r="P232" s="67"/>
    </row>
    <row r="233" spans="16:16" x14ac:dyDescent="0.25">
      <c r="P233" s="67"/>
    </row>
    <row r="234" spans="16:16" x14ac:dyDescent="0.25">
      <c r="P234" s="67"/>
    </row>
    <row r="235" spans="16:16" x14ac:dyDescent="0.25">
      <c r="P235" s="67"/>
    </row>
    <row r="236" spans="16:16" x14ac:dyDescent="0.25">
      <c r="P236" s="67"/>
    </row>
    <row r="237" spans="16:16" x14ac:dyDescent="0.25">
      <c r="P237" s="67"/>
    </row>
    <row r="238" spans="16:16" x14ac:dyDescent="0.25">
      <c r="P238" s="67"/>
    </row>
    <row r="239" spans="16:16" x14ac:dyDescent="0.25">
      <c r="P239" s="67"/>
    </row>
    <row r="240" spans="16:16" x14ac:dyDescent="0.25">
      <c r="P240" s="67"/>
    </row>
    <row r="241" spans="16:16" x14ac:dyDescent="0.25">
      <c r="P241" s="67"/>
    </row>
    <row r="242" spans="16:16" x14ac:dyDescent="0.25">
      <c r="P242" s="67"/>
    </row>
    <row r="243" spans="16:16" x14ac:dyDescent="0.25">
      <c r="P243" s="67"/>
    </row>
    <row r="244" spans="16:16" x14ac:dyDescent="0.25">
      <c r="P244" s="67"/>
    </row>
    <row r="245" spans="16:16" x14ac:dyDescent="0.25">
      <c r="P245" s="67"/>
    </row>
    <row r="246" spans="16:16" x14ac:dyDescent="0.25">
      <c r="P246" s="67"/>
    </row>
    <row r="247" spans="16:16" x14ac:dyDescent="0.25">
      <c r="P247" s="67"/>
    </row>
    <row r="248" spans="16:16" x14ac:dyDescent="0.25">
      <c r="P248" s="67"/>
    </row>
    <row r="249" spans="16:16" x14ac:dyDescent="0.25">
      <c r="P249" s="67"/>
    </row>
    <row r="250" spans="16:16" x14ac:dyDescent="0.25">
      <c r="P250" s="67"/>
    </row>
    <row r="251" spans="16:16" x14ac:dyDescent="0.25">
      <c r="P251" s="67"/>
    </row>
    <row r="252" spans="16:16" x14ac:dyDescent="0.25">
      <c r="P252" s="67"/>
    </row>
    <row r="253" spans="16:16" x14ac:dyDescent="0.25">
      <c r="P253" s="67"/>
    </row>
    <row r="254" spans="16:16" x14ac:dyDescent="0.25">
      <c r="P254" s="67"/>
    </row>
    <row r="255" spans="16:16" x14ac:dyDescent="0.25">
      <c r="P255" s="67"/>
    </row>
    <row r="256" spans="16:16" x14ac:dyDescent="0.25">
      <c r="P256" s="67"/>
    </row>
    <row r="257" spans="16:16" x14ac:dyDescent="0.25">
      <c r="P257" s="67"/>
    </row>
    <row r="258" spans="16:16" x14ac:dyDescent="0.25">
      <c r="P258" s="67"/>
    </row>
  </sheetData>
  <mergeCells count="11">
    <mergeCell ref="A54:I54"/>
    <mergeCell ref="A106:I106"/>
    <mergeCell ref="A107:I107"/>
    <mergeCell ref="A108:I108"/>
    <mergeCell ref="A109:I109"/>
    <mergeCell ref="A53:I53"/>
    <mergeCell ref="A1:I1"/>
    <mergeCell ref="A2:I2"/>
    <mergeCell ref="A3:I3"/>
    <mergeCell ref="A51:I51"/>
    <mergeCell ref="A52:I52"/>
  </mergeCells>
  <pageMargins left="0.7" right="0.7" top="0.75" bottom="0.75" header="0.3" footer="0.3"/>
  <pageSetup scale="82" orientation="portrait" r:id="rId1"/>
  <rowBreaks count="2" manualBreakCount="2">
    <brk id="50" max="8" man="1"/>
    <brk id="1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Cover</vt:lpstr>
      <vt:lpstr>comb funds by func</vt:lpstr>
      <vt:lpstr>Cover Supporting Sch</vt:lpstr>
      <vt:lpstr>GF by funct </vt:lpstr>
      <vt:lpstr>GF by Func 2.5%</vt:lpstr>
      <vt:lpstr>GF by Func 3%</vt:lpstr>
      <vt:lpstr>GF Rev by Obj</vt:lpstr>
      <vt:lpstr>GF Exp by Func &amp; Mj Obj </vt:lpstr>
      <vt:lpstr>2.5% Pay Increase</vt:lpstr>
      <vt:lpstr>GF Exp by Maj Obj</vt:lpstr>
      <vt:lpstr>FS Fund</vt:lpstr>
      <vt:lpstr>DS Fund</vt:lpstr>
      <vt:lpstr>'2.5% Pay Increase'!Print_Area</vt:lpstr>
      <vt:lpstr>Cover!Print_Area</vt:lpstr>
      <vt:lpstr>'Cover Supporting Sch'!Print_Area</vt:lpstr>
      <vt:lpstr>'DS Fund'!Print_Area</vt:lpstr>
      <vt:lpstr>'FS Fund'!Print_Area</vt:lpstr>
      <vt:lpstr>'GF by Func 3%'!Print_Area</vt:lpstr>
      <vt:lpstr>'GF by funct '!Print_Area</vt:lpstr>
      <vt:lpstr>'GF Exp by Maj Obj'!Print_Area</vt:lpstr>
      <vt:lpstr>'GF Rev by Obj'!Print_Area</vt:lpstr>
      <vt:lpstr>Print_Area</vt:lpstr>
      <vt:lpstr>'GF Exp by Func &amp; Mj Obj '!Print_Titles</vt:lpstr>
    </vt:vector>
  </TitlesOfParts>
  <Company>Lewisville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Maniscalco</dc:creator>
  <cp:lastModifiedBy>Trevino, Rosemary</cp:lastModifiedBy>
  <cp:lastPrinted>2021-08-24T15:44:04Z</cp:lastPrinted>
  <dcterms:created xsi:type="dcterms:W3CDTF">2011-07-09T17:36:36Z</dcterms:created>
  <dcterms:modified xsi:type="dcterms:W3CDTF">2021-08-31T14:25:22Z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