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vinor\Documents\20-21 BUDGET\8-24-2020 ADOPTED BUDGET\Board Adopted Budget 8-24-20\2020-21 ADOPTED BUDGET\"/>
    </mc:Choice>
  </mc:AlternateContent>
  <xr:revisionPtr revIDLastSave="0" documentId="13_ncr:1_{0B5C7EB6-AE59-4560-9041-1339AFA498A8}" xr6:coauthVersionLast="45" xr6:coauthVersionMax="45" xr10:uidLastSave="{00000000-0000-0000-0000-000000000000}"/>
  <bookViews>
    <workbookView xWindow="-120" yWindow="-120" windowWidth="29040" windowHeight="15840" tabRatio="965" activeTab="7" xr2:uid="{00000000-000D-0000-FFFF-FFFF00000000}"/>
  </bookViews>
  <sheets>
    <sheet name="Cover" sheetId="10" r:id="rId1"/>
    <sheet name="comb funds by func" sheetId="1" r:id="rId2"/>
    <sheet name="Cover Supporting Sch" sheetId="11" r:id="rId3"/>
    <sheet name="GF by funct " sheetId="9" r:id="rId4"/>
    <sheet name="GF by Func 2.5%" sheetId="16" state="hidden" r:id="rId5"/>
    <sheet name="GF by Func 3%" sheetId="15" state="hidden" r:id="rId6"/>
    <sheet name="GF Rev by Obj" sheetId="2" r:id="rId7"/>
    <sheet name="GF Exp by Func &amp; Mj Obj " sheetId="3" r:id="rId8"/>
    <sheet name="2.5% Pay Increase" sheetId="13" state="hidden" r:id="rId9"/>
    <sheet name="GF Exp by Maj Obj" sheetId="4" r:id="rId10"/>
    <sheet name="FS Fund" sheetId="5" r:id="rId11"/>
    <sheet name="DS Fund" sheetId="6" r:id="rId12"/>
  </sheets>
  <definedNames>
    <definedName name="_xlnm.Print_Area" localSheetId="8">'2.5% Pay Increase'!$A$1:$I$162</definedName>
    <definedName name="_xlnm.Print_Area" localSheetId="0">Cover!$A$1:$K$37</definedName>
    <definedName name="_xlnm.Print_Area" localSheetId="2">'Cover Supporting Sch'!$A$1:$K$37</definedName>
    <definedName name="_xlnm.Print_Area" localSheetId="11">'DS Fund'!$A$1:$J$44</definedName>
    <definedName name="_xlnm.Print_Area" localSheetId="10">'FS Fund'!$A$1:$J$51</definedName>
    <definedName name="_xlnm.Print_Area" localSheetId="5">'GF by Func 3%'!$A$1:$G$52</definedName>
    <definedName name="_xlnm.Print_Area" localSheetId="3">'GF by funct '!$A$1:$H$58</definedName>
    <definedName name="_xlnm.Print_Area" localSheetId="7">'GF Exp by Func &amp; Mj Obj '!$A$1:$J$163</definedName>
    <definedName name="_xlnm.Print_Area" localSheetId="6">'GF Rev by Obj'!$A$1:$K$57</definedName>
    <definedName name="_xlnm.Print_Area">Cover!$A$4:$J$38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4" i="3" l="1"/>
  <c r="H143" i="3" l="1"/>
  <c r="J9" i="3" l="1"/>
  <c r="E12" i="9" l="1"/>
  <c r="E11" i="9"/>
  <c r="E10" i="9"/>
  <c r="E9" i="9"/>
  <c r="D12" i="9"/>
  <c r="D11" i="9"/>
  <c r="D10" i="9"/>
  <c r="D9" i="9"/>
  <c r="D47" i="9"/>
  <c r="E47" i="9"/>
  <c r="D38" i="9"/>
  <c r="D15" i="4"/>
  <c r="F49" i="2"/>
  <c r="F42" i="2"/>
  <c r="F51" i="2" s="1"/>
  <c r="F33" i="2"/>
  <c r="F24" i="2"/>
  <c r="D49" i="2"/>
  <c r="D42" i="2"/>
  <c r="D33" i="2"/>
  <c r="D16" i="2"/>
  <c r="D24" i="2" s="1"/>
  <c r="E13" i="9" l="1"/>
  <c r="D13" i="9"/>
  <c r="D42" i="9" s="1"/>
  <c r="D49" i="9" s="1"/>
  <c r="D51" i="2"/>
  <c r="J44" i="5" l="1"/>
  <c r="H44" i="5"/>
  <c r="F44" i="5"/>
  <c r="D44" i="5"/>
  <c r="J35" i="5"/>
  <c r="H35" i="5"/>
  <c r="F35" i="5"/>
  <c r="D31" i="5"/>
  <c r="D35" i="5" s="1"/>
  <c r="J25" i="5"/>
  <c r="H25" i="5"/>
  <c r="F25" i="5"/>
  <c r="D25" i="5"/>
  <c r="J18" i="5"/>
  <c r="H18" i="5"/>
  <c r="F18" i="5"/>
  <c r="D18" i="5"/>
  <c r="J12" i="5"/>
  <c r="H12" i="5"/>
  <c r="F12" i="5"/>
  <c r="D12" i="5"/>
  <c r="J37" i="6"/>
  <c r="H37" i="6"/>
  <c r="F37" i="6"/>
  <c r="D37" i="6"/>
  <c r="J28" i="6"/>
  <c r="F28" i="6"/>
  <c r="D28" i="6"/>
  <c r="H26" i="6"/>
  <c r="H28" i="6" s="1"/>
  <c r="F27" i="5" l="1"/>
  <c r="F39" i="5" s="1"/>
  <c r="F48" i="5" s="1"/>
  <c r="D27" i="5"/>
  <c r="D39" i="5" s="1"/>
  <c r="D48" i="5" s="1"/>
  <c r="H27" i="5"/>
  <c r="H39" i="5" s="1"/>
  <c r="H48" i="5" s="1"/>
  <c r="J27" i="5"/>
  <c r="J39" i="5" s="1"/>
  <c r="J48" i="5" s="1"/>
  <c r="I8" i="2"/>
  <c r="F17" i="3"/>
  <c r="F123" i="3"/>
  <c r="F100" i="3"/>
  <c r="F101" i="3"/>
  <c r="F73" i="3"/>
  <c r="F18" i="3"/>
  <c r="F131" i="3"/>
  <c r="F13" i="3"/>
  <c r="I12" i="2" l="1"/>
  <c r="D22" i="6" l="1"/>
  <c r="D32" i="6" s="1"/>
  <c r="D41" i="6" s="1"/>
  <c r="D10" i="1" l="1"/>
  <c r="G9" i="9" s="1"/>
  <c r="H10" i="4" l="1"/>
  <c r="H9" i="4"/>
  <c r="H8" i="4"/>
  <c r="F62" i="3" l="1"/>
  <c r="G22" i="9" s="1"/>
  <c r="D161" i="3"/>
  <c r="E37" i="9" s="1"/>
  <c r="D157" i="3"/>
  <c r="E36" i="9" s="1"/>
  <c r="D153" i="3"/>
  <c r="E35" i="9" s="1"/>
  <c r="D149" i="3"/>
  <c r="D144" i="3"/>
  <c r="E34" i="9" s="1"/>
  <c r="D140" i="3"/>
  <c r="D131" i="3"/>
  <c r="D135" i="3" s="1"/>
  <c r="E31" i="9" s="1"/>
  <c r="D128" i="3"/>
  <c r="E30" i="9" s="1"/>
  <c r="D120" i="3"/>
  <c r="E29" i="9" s="1"/>
  <c r="D113" i="3"/>
  <c r="D100" i="3"/>
  <c r="D105" i="3" s="1"/>
  <c r="E28" i="9" s="1"/>
  <c r="D96" i="3"/>
  <c r="D94" i="3"/>
  <c r="D93" i="3"/>
  <c r="D97" i="3" s="1"/>
  <c r="E27" i="9" s="1"/>
  <c r="D88" i="3"/>
  <c r="D85" i="3"/>
  <c r="D82" i="3"/>
  <c r="E25" i="9" s="1"/>
  <c r="D78" i="3"/>
  <c r="D74" i="3"/>
  <c r="E24" i="9" s="1"/>
  <c r="D65" i="3"/>
  <c r="D69" i="3" s="1"/>
  <c r="E23" i="9" s="1"/>
  <c r="D62" i="3"/>
  <c r="E22" i="9" s="1"/>
  <c r="D57" i="3"/>
  <c r="D45" i="3"/>
  <c r="D49" i="3" s="1"/>
  <c r="E21" i="9" s="1"/>
  <c r="D38" i="3"/>
  <c r="D42" i="3" s="1"/>
  <c r="E20" i="9" s="1"/>
  <c r="D35" i="3"/>
  <c r="E19" i="9" s="1"/>
  <c r="D24" i="3"/>
  <c r="D17" i="3"/>
  <c r="D21" i="3" s="1"/>
  <c r="E17" i="9" s="1"/>
  <c r="D9" i="3"/>
  <c r="D14" i="3" s="1"/>
  <c r="E16" i="9" s="1"/>
  <c r="D90" i="3" l="1"/>
  <c r="E26" i="9" s="1"/>
  <c r="D28" i="3"/>
  <c r="E18" i="9" s="1"/>
  <c r="E38" i="9" s="1"/>
  <c r="E42" i="9" s="1"/>
  <c r="E49" i="9" s="1"/>
  <c r="H11" i="4"/>
  <c r="D163" i="3" l="1"/>
  <c r="E130" i="13"/>
  <c r="E122" i="13"/>
  <c r="E114" i="13"/>
  <c r="E99" i="13"/>
  <c r="E92" i="13"/>
  <c r="E84" i="13"/>
  <c r="E80" i="13"/>
  <c r="E71" i="13"/>
  <c r="E64" i="13"/>
  <c r="E59" i="13"/>
  <c r="E45" i="13"/>
  <c r="E38" i="13"/>
  <c r="E31" i="13"/>
  <c r="E24" i="13"/>
  <c r="E17" i="13"/>
  <c r="E9" i="13"/>
  <c r="M162" i="13"/>
  <c r="AA39" i="15"/>
  <c r="Y39" i="15"/>
  <c r="W39" i="15"/>
  <c r="S39" i="15"/>
  <c r="AA38" i="15"/>
  <c r="Y38" i="15"/>
  <c r="W38" i="15"/>
  <c r="U38" i="15"/>
  <c r="S38" i="15"/>
  <c r="AA39" i="16"/>
  <c r="Y39" i="16"/>
  <c r="W39" i="16"/>
  <c r="S39" i="16"/>
  <c r="AA38" i="16"/>
  <c r="Y38" i="16"/>
  <c r="W38" i="16"/>
  <c r="U38" i="16"/>
  <c r="S38" i="16"/>
  <c r="F28" i="15"/>
  <c r="F25" i="15"/>
  <c r="F37" i="15"/>
  <c r="F36" i="15"/>
  <c r="F35" i="15"/>
  <c r="F34" i="15"/>
  <c r="F20" i="15"/>
  <c r="F18" i="15"/>
  <c r="G46" i="15"/>
  <c r="C45" i="15"/>
  <c r="C47" i="15" s="1"/>
  <c r="C38" i="15"/>
  <c r="D33" i="15"/>
  <c r="G33" i="15" s="1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F12" i="15"/>
  <c r="D12" i="15"/>
  <c r="F11" i="15"/>
  <c r="D11" i="15"/>
  <c r="F10" i="15"/>
  <c r="D10" i="15"/>
  <c r="C10" i="15"/>
  <c r="F9" i="15"/>
  <c r="E9" i="15"/>
  <c r="D9" i="15"/>
  <c r="C9" i="15"/>
  <c r="G10" i="15" l="1"/>
  <c r="G11" i="15"/>
  <c r="D13" i="15"/>
  <c r="G12" i="15"/>
  <c r="F30" i="15"/>
  <c r="E38" i="15"/>
  <c r="G9" i="15"/>
  <c r="F21" i="15"/>
  <c r="F16" i="15"/>
  <c r="F19" i="15"/>
  <c r="F17" i="15"/>
  <c r="F23" i="15"/>
  <c r="F24" i="15"/>
  <c r="F31" i="15"/>
  <c r="F27" i="15"/>
  <c r="F13" i="15"/>
  <c r="F32" i="9"/>
  <c r="E127" i="13"/>
  <c r="F30" i="16" s="1"/>
  <c r="G92" i="13"/>
  <c r="E81" i="13"/>
  <c r="F25" i="16" s="1"/>
  <c r="G64" i="13"/>
  <c r="F12" i="16"/>
  <c r="F11" i="16"/>
  <c r="F10" i="16"/>
  <c r="F9" i="16"/>
  <c r="F35" i="16"/>
  <c r="F34" i="16"/>
  <c r="E160" i="13"/>
  <c r="F37" i="16" s="1"/>
  <c r="C160" i="13"/>
  <c r="G160" i="13" s="1"/>
  <c r="G159" i="13"/>
  <c r="E156" i="13"/>
  <c r="F36" i="16" s="1"/>
  <c r="C156" i="13"/>
  <c r="G155" i="13"/>
  <c r="E152" i="13"/>
  <c r="C152" i="13"/>
  <c r="G151" i="13"/>
  <c r="E148" i="13"/>
  <c r="C148" i="13"/>
  <c r="G148" i="13" s="1"/>
  <c r="G146" i="13"/>
  <c r="E143" i="13"/>
  <c r="C143" i="13"/>
  <c r="E139" i="13"/>
  <c r="F32" i="15" s="1"/>
  <c r="C139" i="13"/>
  <c r="G137" i="13"/>
  <c r="C134" i="13"/>
  <c r="G133" i="13"/>
  <c r="G132" i="13"/>
  <c r="G131" i="13"/>
  <c r="E134" i="13"/>
  <c r="F31" i="16" s="1"/>
  <c r="C127" i="13"/>
  <c r="G125" i="13"/>
  <c r="G124" i="13"/>
  <c r="G123" i="13"/>
  <c r="C119" i="13"/>
  <c r="G118" i="13"/>
  <c r="G117" i="13"/>
  <c r="G116" i="13"/>
  <c r="G115" i="13"/>
  <c r="E119" i="13"/>
  <c r="F29" i="16" s="1"/>
  <c r="E112" i="13"/>
  <c r="C112" i="13"/>
  <c r="E111" i="13"/>
  <c r="C111" i="13"/>
  <c r="E110" i="13"/>
  <c r="C110" i="13"/>
  <c r="A107" i="13"/>
  <c r="C104" i="13"/>
  <c r="G103" i="13"/>
  <c r="G102" i="13"/>
  <c r="G101" i="13"/>
  <c r="G100" i="13"/>
  <c r="E104" i="13"/>
  <c r="F28" i="16" s="1"/>
  <c r="C96" i="13"/>
  <c r="E95" i="13"/>
  <c r="G94" i="13"/>
  <c r="G93" i="13"/>
  <c r="C89" i="13"/>
  <c r="G88" i="13"/>
  <c r="E87" i="13"/>
  <c r="G87" i="13" s="1"/>
  <c r="G86" i="13"/>
  <c r="G85" i="13"/>
  <c r="C81" i="13"/>
  <c r="E77" i="13"/>
  <c r="C77" i="13"/>
  <c r="G77" i="13" s="1"/>
  <c r="G76" i="13"/>
  <c r="C73" i="13"/>
  <c r="G72" i="13"/>
  <c r="E73" i="13"/>
  <c r="F24" i="16" s="1"/>
  <c r="C68" i="13"/>
  <c r="G67" i="13"/>
  <c r="G66" i="13"/>
  <c r="G65" i="13"/>
  <c r="C61" i="13"/>
  <c r="G60" i="13"/>
  <c r="E61" i="13"/>
  <c r="E57" i="13"/>
  <c r="C57" i="13"/>
  <c r="E56" i="13"/>
  <c r="C56" i="13"/>
  <c r="E55" i="13"/>
  <c r="C55" i="13"/>
  <c r="A52" i="13"/>
  <c r="C49" i="13"/>
  <c r="G48" i="13"/>
  <c r="G47" i="13"/>
  <c r="G46" i="13"/>
  <c r="C42" i="13"/>
  <c r="G41" i="13"/>
  <c r="G40" i="13"/>
  <c r="G39" i="13"/>
  <c r="E42" i="13"/>
  <c r="F20" i="16" s="1"/>
  <c r="E35" i="13"/>
  <c r="C35" i="13"/>
  <c r="G34" i="13"/>
  <c r="G33" i="13"/>
  <c r="G32" i="13"/>
  <c r="C28" i="13"/>
  <c r="G27" i="13"/>
  <c r="G26" i="13"/>
  <c r="G25" i="13"/>
  <c r="C21" i="13"/>
  <c r="G20" i="13"/>
  <c r="G19" i="13"/>
  <c r="G18" i="13"/>
  <c r="E21" i="13"/>
  <c r="F17" i="16" s="1"/>
  <c r="C14" i="13"/>
  <c r="G13" i="13"/>
  <c r="G12" i="13"/>
  <c r="G11" i="13"/>
  <c r="G10" i="13"/>
  <c r="Q9" i="13"/>
  <c r="Q162" i="13" s="1"/>
  <c r="P9" i="13"/>
  <c r="P162" i="13" s="1"/>
  <c r="E14" i="13"/>
  <c r="F16" i="16" s="1"/>
  <c r="G46" i="16"/>
  <c r="C45" i="16"/>
  <c r="C47" i="16" s="1"/>
  <c r="C38" i="16"/>
  <c r="D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38" i="16" s="1"/>
  <c r="D12" i="16"/>
  <c r="D11" i="16"/>
  <c r="D10" i="16"/>
  <c r="C10" i="16"/>
  <c r="E9" i="16"/>
  <c r="D9" i="16"/>
  <c r="C9" i="16"/>
  <c r="G12" i="16" l="1"/>
  <c r="G13" i="15"/>
  <c r="G10" i="16"/>
  <c r="D13" i="16"/>
  <c r="G61" i="13"/>
  <c r="F32" i="16"/>
  <c r="F26" i="15"/>
  <c r="G9" i="16"/>
  <c r="F22" i="15"/>
  <c r="F29" i="15"/>
  <c r="G11" i="16"/>
  <c r="C162" i="13"/>
  <c r="G35" i="13"/>
  <c r="F22" i="16"/>
  <c r="F19" i="16"/>
  <c r="G33" i="16"/>
  <c r="G84" i="13"/>
  <c r="G122" i="13"/>
  <c r="G71" i="13"/>
  <c r="G152" i="13"/>
  <c r="G17" i="13"/>
  <c r="G114" i="13"/>
  <c r="G130" i="13"/>
  <c r="G156" i="13"/>
  <c r="G81" i="13"/>
  <c r="G42" i="13"/>
  <c r="G21" i="13"/>
  <c r="G119" i="13"/>
  <c r="G134" i="13"/>
  <c r="G14" i="13"/>
  <c r="G127" i="13"/>
  <c r="G9" i="13"/>
  <c r="G24" i="13"/>
  <c r="G31" i="13"/>
  <c r="G45" i="13"/>
  <c r="E49" i="13"/>
  <c r="F21" i="16" s="1"/>
  <c r="G59" i="13"/>
  <c r="E68" i="13"/>
  <c r="F23" i="16" s="1"/>
  <c r="G95" i="13"/>
  <c r="E96" i="13"/>
  <c r="F27" i="16" s="1"/>
  <c r="G104" i="13"/>
  <c r="E28" i="13"/>
  <c r="F18" i="16" s="1"/>
  <c r="E89" i="13"/>
  <c r="F26" i="16" s="1"/>
  <c r="G99" i="13"/>
  <c r="G73" i="13"/>
  <c r="G80" i="13"/>
  <c r="G38" i="13"/>
  <c r="F13" i="16"/>
  <c r="G13" i="16" l="1"/>
  <c r="F38" i="15"/>
  <c r="F42" i="15" s="1"/>
  <c r="F38" i="16"/>
  <c r="F42" i="16" s="1"/>
  <c r="G96" i="13"/>
  <c r="E162" i="13"/>
  <c r="G28" i="13"/>
  <c r="G89" i="13"/>
  <c r="G68" i="13"/>
  <c r="G49" i="13"/>
  <c r="G162" i="13" l="1"/>
  <c r="I160" i="13"/>
  <c r="I156" i="13"/>
  <c r="I152" i="13"/>
  <c r="I148" i="13"/>
  <c r="I131" i="13"/>
  <c r="I126" i="13"/>
  <c r="I123" i="13"/>
  <c r="I116" i="13"/>
  <c r="I115" i="13"/>
  <c r="I92" i="13"/>
  <c r="I87" i="13"/>
  <c r="I86" i="13"/>
  <c r="I80" i="13"/>
  <c r="I77" i="13"/>
  <c r="I65" i="13"/>
  <c r="I41" i="13"/>
  <c r="I40" i="13"/>
  <c r="I39" i="13"/>
  <c r="I34" i="13"/>
  <c r="I27" i="13"/>
  <c r="I17" i="13"/>
  <c r="I12" i="13"/>
  <c r="I10" i="13"/>
  <c r="I19" i="13"/>
  <c r="I159" i="13"/>
  <c r="I155" i="13"/>
  <c r="I151" i="13"/>
  <c r="I147" i="13"/>
  <c r="I142" i="13"/>
  <c r="I137" i="13"/>
  <c r="I132" i="13"/>
  <c r="I124" i="13"/>
  <c r="I117" i="13"/>
  <c r="I93" i="13"/>
  <c r="I88" i="13"/>
  <c r="I76" i="13"/>
  <c r="I143" i="13"/>
  <c r="I133" i="13"/>
  <c r="I125" i="13"/>
  <c r="I101" i="13"/>
  <c r="I100" i="13"/>
  <c r="I94" i="13"/>
  <c r="I72" i="13"/>
  <c r="I67" i="13"/>
  <c r="I20" i="13"/>
  <c r="I66" i="13"/>
  <c r="I18" i="13"/>
  <c r="I162" i="13"/>
  <c r="I146" i="13"/>
  <c r="I138" i="13"/>
  <c r="I118" i="13"/>
  <c r="I103" i="13"/>
  <c r="I102" i="13"/>
  <c r="I85" i="13"/>
  <c r="I84" i="13"/>
  <c r="I60" i="13"/>
  <c r="I48" i="13"/>
  <c r="I47" i="13"/>
  <c r="I46" i="13"/>
  <c r="I33" i="13"/>
  <c r="I32" i="13"/>
  <c r="I26" i="13"/>
  <c r="I25" i="13"/>
  <c r="I13" i="13"/>
  <c r="I11" i="13"/>
  <c r="I71" i="13"/>
  <c r="I99" i="13"/>
  <c r="I45" i="13"/>
  <c r="I59" i="13"/>
  <c r="I127" i="13"/>
  <c r="I114" i="13"/>
  <c r="I81" i="13"/>
  <c r="I104" i="13"/>
  <c r="I73" i="13"/>
  <c r="I35" i="13"/>
  <c r="I122" i="13"/>
  <c r="I95" i="13"/>
  <c r="I139" i="13"/>
  <c r="I42" i="13"/>
  <c r="I119" i="13"/>
  <c r="I38" i="13"/>
  <c r="I61" i="13"/>
  <c r="I130" i="13"/>
  <c r="I9" i="13"/>
  <c r="I21" i="13"/>
  <c r="I134" i="13"/>
  <c r="I14" i="13"/>
  <c r="I31" i="13"/>
  <c r="I64" i="13"/>
  <c r="I24" i="13"/>
  <c r="I28" i="13"/>
  <c r="I68" i="13"/>
  <c r="I89" i="13"/>
  <c r="I96" i="13"/>
  <c r="I49" i="13"/>
  <c r="F35" i="3" l="1"/>
  <c r="G19" i="9" s="1"/>
  <c r="F13" i="4" l="1"/>
  <c r="F11" i="4"/>
  <c r="L116" i="3" l="1"/>
  <c r="H33" i="1"/>
  <c r="H39" i="1" s="1"/>
  <c r="H13" i="1"/>
  <c r="H12" i="1"/>
  <c r="H11" i="1"/>
  <c r="H10" i="1"/>
  <c r="F12" i="1"/>
  <c r="F144" i="3"/>
  <c r="G34" i="9" s="1"/>
  <c r="F90" i="3"/>
  <c r="G26" i="9" s="1"/>
  <c r="H72" i="3"/>
  <c r="F28" i="3"/>
  <c r="G18" i="9" s="1"/>
  <c r="L9" i="3"/>
  <c r="F12" i="4"/>
  <c r="F10" i="4"/>
  <c r="F9" i="4"/>
  <c r="F8" i="4"/>
  <c r="H13" i="4"/>
  <c r="J13" i="4" s="1"/>
  <c r="H12" i="4"/>
  <c r="J11" i="4"/>
  <c r="L35" i="3"/>
  <c r="F49" i="3"/>
  <c r="G21" i="9" s="1"/>
  <c r="F69" i="3"/>
  <c r="G23" i="9" s="1"/>
  <c r="F97" i="3"/>
  <c r="F128" i="3"/>
  <c r="F135" i="3"/>
  <c r="G31" i="9" s="1"/>
  <c r="F140" i="3"/>
  <c r="G32" i="9" s="1"/>
  <c r="D33" i="1" s="1"/>
  <c r="F153" i="3"/>
  <c r="G35" i="9" s="1"/>
  <c r="F157" i="3"/>
  <c r="F161" i="3"/>
  <c r="G37" i="9" s="1"/>
  <c r="D38" i="1" s="1"/>
  <c r="H119" i="3"/>
  <c r="H81" i="3"/>
  <c r="F22" i="6"/>
  <c r="F32" i="6" s="1"/>
  <c r="F41" i="6" s="1"/>
  <c r="D44" i="6"/>
  <c r="G12" i="9"/>
  <c r="H12" i="9" s="1"/>
  <c r="G11" i="9"/>
  <c r="H11" i="9" s="1"/>
  <c r="H33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49" i="3"/>
  <c r="F78" i="3"/>
  <c r="L78" i="3" s="1"/>
  <c r="I49" i="2"/>
  <c r="H56" i="1"/>
  <c r="H55" i="1"/>
  <c r="H48" i="1"/>
  <c r="F55" i="1"/>
  <c r="F57" i="1" s="1"/>
  <c r="H46" i="9"/>
  <c r="H49" i="2"/>
  <c r="J46" i="2"/>
  <c r="D56" i="1"/>
  <c r="D34" i="1"/>
  <c r="J47" i="2"/>
  <c r="J45" i="2"/>
  <c r="J37" i="2"/>
  <c r="J38" i="2"/>
  <c r="J39" i="2"/>
  <c r="J40" i="2"/>
  <c r="J36" i="2"/>
  <c r="J28" i="2"/>
  <c r="J29" i="2"/>
  <c r="J30" i="2"/>
  <c r="J31" i="2"/>
  <c r="J27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9" i="2"/>
  <c r="J8" i="2"/>
  <c r="F9" i="9"/>
  <c r="H24" i="2"/>
  <c r="H33" i="2"/>
  <c r="H42" i="2"/>
  <c r="F12" i="9" s="1"/>
  <c r="I33" i="2"/>
  <c r="D12" i="1" s="1"/>
  <c r="I42" i="2"/>
  <c r="D13" i="1" s="1"/>
  <c r="I24" i="2"/>
  <c r="E49" i="2"/>
  <c r="E42" i="2"/>
  <c r="E33" i="2"/>
  <c r="E24" i="2"/>
  <c r="G49" i="2"/>
  <c r="G42" i="2"/>
  <c r="G33" i="2"/>
  <c r="G24" i="2"/>
  <c r="E55" i="1"/>
  <c r="E57" i="1" s="1"/>
  <c r="L139" i="3"/>
  <c r="L138" i="3"/>
  <c r="H138" i="3"/>
  <c r="H60" i="3"/>
  <c r="D112" i="3"/>
  <c r="D111" i="3"/>
  <c r="D56" i="3"/>
  <c r="D55" i="3"/>
  <c r="L77" i="5"/>
  <c r="L78" i="5"/>
  <c r="H77" i="3"/>
  <c r="L83" i="2"/>
  <c r="L84" i="2"/>
  <c r="L115" i="5"/>
  <c r="L121" i="2"/>
  <c r="H78" i="3"/>
  <c r="L77" i="3"/>
  <c r="H118" i="3"/>
  <c r="H13" i="3"/>
  <c r="F112" i="3"/>
  <c r="F113" i="3"/>
  <c r="F111" i="3"/>
  <c r="F56" i="3"/>
  <c r="F57" i="3"/>
  <c r="F55" i="3"/>
  <c r="L148" i="3"/>
  <c r="L160" i="3"/>
  <c r="L156" i="3"/>
  <c r="L152" i="3"/>
  <c r="L147" i="3"/>
  <c r="L134" i="3"/>
  <c r="L133" i="3"/>
  <c r="L132" i="3"/>
  <c r="L131" i="3"/>
  <c r="L127" i="3"/>
  <c r="L126" i="3"/>
  <c r="L125" i="3"/>
  <c r="L124" i="3"/>
  <c r="L123" i="3"/>
  <c r="L117" i="3"/>
  <c r="L104" i="3"/>
  <c r="L103" i="3"/>
  <c r="L102" i="3"/>
  <c r="L101" i="3"/>
  <c r="L96" i="3"/>
  <c r="L95" i="3"/>
  <c r="L94" i="3"/>
  <c r="L89" i="3"/>
  <c r="L88" i="3"/>
  <c r="L87" i="3"/>
  <c r="L86" i="3"/>
  <c r="L68" i="3"/>
  <c r="L67" i="3"/>
  <c r="L66" i="3"/>
  <c r="L65" i="3"/>
  <c r="L59" i="3"/>
  <c r="L48" i="3"/>
  <c r="L47" i="3"/>
  <c r="L46" i="3"/>
  <c r="L41" i="3"/>
  <c r="L40" i="3"/>
  <c r="L39" i="3"/>
  <c r="L34" i="3"/>
  <c r="L33" i="3"/>
  <c r="L32" i="3"/>
  <c r="L31" i="3"/>
  <c r="L27" i="3"/>
  <c r="L26" i="3"/>
  <c r="L25" i="3"/>
  <c r="L24" i="3"/>
  <c r="L20" i="3"/>
  <c r="L19" i="3"/>
  <c r="L18" i="3"/>
  <c r="L10" i="3"/>
  <c r="L11" i="3"/>
  <c r="L12" i="3"/>
  <c r="L13" i="3"/>
  <c r="M42" i="2"/>
  <c r="M33" i="2"/>
  <c r="M24" i="2"/>
  <c r="L93" i="3"/>
  <c r="B108" i="3"/>
  <c r="B52" i="3"/>
  <c r="L73" i="3"/>
  <c r="F48" i="1"/>
  <c r="D48" i="1"/>
  <c r="H22" i="6"/>
  <c r="H32" i="6" s="1"/>
  <c r="H41" i="6" s="1"/>
  <c r="J22" i="6"/>
  <c r="J32" i="6" s="1"/>
  <c r="J41" i="6" s="1"/>
  <c r="H160" i="3"/>
  <c r="H156" i="3"/>
  <c r="H152" i="3"/>
  <c r="H147" i="3"/>
  <c r="H134" i="3"/>
  <c r="H132" i="3"/>
  <c r="H133" i="3"/>
  <c r="H131" i="3"/>
  <c r="H124" i="3"/>
  <c r="H125" i="3"/>
  <c r="H126" i="3"/>
  <c r="H123" i="3"/>
  <c r="H117" i="3"/>
  <c r="H116" i="3"/>
  <c r="H101" i="3"/>
  <c r="H102" i="3"/>
  <c r="H103" i="3"/>
  <c r="H104" i="3"/>
  <c r="H96" i="3"/>
  <c r="H95" i="3"/>
  <c r="H94" i="3"/>
  <c r="H93" i="3"/>
  <c r="H89" i="3"/>
  <c r="H88" i="3"/>
  <c r="H87" i="3"/>
  <c r="H86" i="3"/>
  <c r="H73" i="3"/>
  <c r="H68" i="3"/>
  <c r="H67" i="3"/>
  <c r="H66" i="3"/>
  <c r="H65" i="3"/>
  <c r="H59" i="3"/>
  <c r="H48" i="3"/>
  <c r="H47" i="3"/>
  <c r="H46" i="3"/>
  <c r="H41" i="3"/>
  <c r="H40" i="3"/>
  <c r="H39" i="3"/>
  <c r="H34" i="3"/>
  <c r="H33" i="3"/>
  <c r="H32" i="3"/>
  <c r="H31" i="3"/>
  <c r="H27" i="3"/>
  <c r="H26" i="3"/>
  <c r="H20" i="3"/>
  <c r="H19" i="3"/>
  <c r="H18" i="3"/>
  <c r="H10" i="3"/>
  <c r="H11" i="3"/>
  <c r="H12" i="3"/>
  <c r="H25" i="3"/>
  <c r="F39" i="1"/>
  <c r="G27" i="9" l="1"/>
  <c r="D28" i="1" s="1"/>
  <c r="E10" i="16"/>
  <c r="L161" i="3"/>
  <c r="L157" i="3"/>
  <c r="G36" i="9"/>
  <c r="D37" i="1" s="1"/>
  <c r="G30" i="9"/>
  <c r="D31" i="1" s="1"/>
  <c r="L140" i="3"/>
  <c r="J49" i="2"/>
  <c r="G10" i="9"/>
  <c r="H10" i="9" s="1"/>
  <c r="D11" i="1"/>
  <c r="D14" i="1" s="1"/>
  <c r="E10" i="15"/>
  <c r="L153" i="3"/>
  <c r="H57" i="1"/>
  <c r="E51" i="2"/>
  <c r="H149" i="3"/>
  <c r="H35" i="9"/>
  <c r="F10" i="9"/>
  <c r="H153" i="3"/>
  <c r="F11" i="1"/>
  <c r="L135" i="3"/>
  <c r="D32" i="15"/>
  <c r="G32" i="15" s="1"/>
  <c r="D32" i="16"/>
  <c r="G32" i="16" s="1"/>
  <c r="H32" i="9"/>
  <c r="D21" i="15"/>
  <c r="G21" i="15" s="1"/>
  <c r="D21" i="16"/>
  <c r="G21" i="16" s="1"/>
  <c r="D19" i="15"/>
  <c r="G19" i="15" s="1"/>
  <c r="D19" i="16"/>
  <c r="G19" i="16" s="1"/>
  <c r="M51" i="2"/>
  <c r="D29" i="15"/>
  <c r="G29" i="15" s="1"/>
  <c r="D29" i="16"/>
  <c r="G29" i="16" s="1"/>
  <c r="D18" i="15"/>
  <c r="G18" i="15" s="1"/>
  <c r="D18" i="16"/>
  <c r="G18" i="16" s="1"/>
  <c r="D30" i="15"/>
  <c r="G30" i="15" s="1"/>
  <c r="D30" i="16"/>
  <c r="G30" i="16" s="1"/>
  <c r="D28" i="15"/>
  <c r="G28" i="15" s="1"/>
  <c r="D28" i="16"/>
  <c r="G28" i="16" s="1"/>
  <c r="D17" i="15"/>
  <c r="G17" i="15" s="1"/>
  <c r="D17" i="16"/>
  <c r="G17" i="16" s="1"/>
  <c r="D27" i="15"/>
  <c r="G27" i="15" s="1"/>
  <c r="D27" i="16"/>
  <c r="G27" i="16" s="1"/>
  <c r="E12" i="15"/>
  <c r="E12" i="16"/>
  <c r="F45" i="9"/>
  <c r="F47" i="9" s="1"/>
  <c r="E45" i="15"/>
  <c r="E47" i="15" s="1"/>
  <c r="E45" i="16"/>
  <c r="E47" i="16" s="1"/>
  <c r="G47" i="9"/>
  <c r="F45" i="15"/>
  <c r="F45" i="16"/>
  <c r="D26" i="15"/>
  <c r="G26" i="15" s="1"/>
  <c r="D26" i="16"/>
  <c r="G26" i="16" s="1"/>
  <c r="D16" i="15"/>
  <c r="D16" i="16"/>
  <c r="F11" i="9"/>
  <c r="F13" i="9" s="1"/>
  <c r="E11" i="15"/>
  <c r="E13" i="15" s="1"/>
  <c r="E42" i="15" s="1"/>
  <c r="E11" i="16"/>
  <c r="E13" i="16" s="1"/>
  <c r="E42" i="16" s="1"/>
  <c r="D51" i="5"/>
  <c r="H50" i="5" s="1"/>
  <c r="H34" i="9"/>
  <c r="D34" i="15"/>
  <c r="G34" i="15" s="1"/>
  <c r="D34" i="16"/>
  <c r="G34" i="16" s="1"/>
  <c r="D20" i="15"/>
  <c r="G20" i="15" s="1"/>
  <c r="D20" i="16"/>
  <c r="G20" i="16" s="1"/>
  <c r="D25" i="15"/>
  <c r="G25" i="15" s="1"/>
  <c r="D25" i="16"/>
  <c r="G25" i="16" s="1"/>
  <c r="H161" i="3"/>
  <c r="D37" i="15"/>
  <c r="G37" i="15" s="1"/>
  <c r="D37" i="16"/>
  <c r="G37" i="16" s="1"/>
  <c r="D24" i="15"/>
  <c r="G24" i="15" s="1"/>
  <c r="D24" i="16"/>
  <c r="G24" i="16" s="1"/>
  <c r="C12" i="15"/>
  <c r="C12" i="16"/>
  <c r="L149" i="3"/>
  <c r="H36" i="9"/>
  <c r="D36" i="15"/>
  <c r="G36" i="15" s="1"/>
  <c r="D36" i="16"/>
  <c r="G36" i="16" s="1"/>
  <c r="D23" i="15"/>
  <c r="G23" i="15" s="1"/>
  <c r="D23" i="16"/>
  <c r="G23" i="16" s="1"/>
  <c r="C11" i="15"/>
  <c r="C11" i="16"/>
  <c r="D45" i="15"/>
  <c r="D47" i="15" s="1"/>
  <c r="D45" i="16"/>
  <c r="D47" i="16" s="1"/>
  <c r="H31" i="9"/>
  <c r="D31" i="15"/>
  <c r="G31" i="15" s="1"/>
  <c r="D31" i="16"/>
  <c r="G31" i="16" s="1"/>
  <c r="D35" i="15"/>
  <c r="G35" i="15" s="1"/>
  <c r="D35" i="16"/>
  <c r="G35" i="16" s="1"/>
  <c r="D22" i="15"/>
  <c r="G22" i="15" s="1"/>
  <c r="D22" i="16"/>
  <c r="G22" i="16" s="1"/>
  <c r="D36" i="1"/>
  <c r="H69" i="3"/>
  <c r="F38" i="9"/>
  <c r="H128" i="3"/>
  <c r="L128" i="3"/>
  <c r="L69" i="3"/>
  <c r="F50" i="5"/>
  <c r="F43" i="6"/>
  <c r="H43" i="6"/>
  <c r="L97" i="3"/>
  <c r="H22" i="9"/>
  <c r="L62" i="3"/>
  <c r="H62" i="3"/>
  <c r="G51" i="2"/>
  <c r="F13" i="1"/>
  <c r="H51" i="2"/>
  <c r="D22" i="1"/>
  <c r="L49" i="3"/>
  <c r="H49" i="3"/>
  <c r="F42" i="3"/>
  <c r="L38" i="3"/>
  <c r="H38" i="3"/>
  <c r="L100" i="3"/>
  <c r="F105" i="3"/>
  <c r="H100" i="3"/>
  <c r="H157" i="3"/>
  <c r="D57" i="1"/>
  <c r="H97" i="3"/>
  <c r="F21" i="3"/>
  <c r="H17" i="3"/>
  <c r="L17" i="3"/>
  <c r="H45" i="3"/>
  <c r="L45" i="3"/>
  <c r="F82" i="3"/>
  <c r="L81" i="3"/>
  <c r="H115" i="3"/>
  <c r="F120" i="3"/>
  <c r="L115" i="3"/>
  <c r="H14" i="1"/>
  <c r="H43" i="1" s="1"/>
  <c r="H52" i="1" s="1"/>
  <c r="H59" i="1" s="1"/>
  <c r="H24" i="3"/>
  <c r="H85" i="3"/>
  <c r="L85" i="3"/>
  <c r="F14" i="3"/>
  <c r="H37" i="9"/>
  <c r="F15" i="4"/>
  <c r="J10" i="4"/>
  <c r="J42" i="2"/>
  <c r="L144" i="3"/>
  <c r="D35" i="1"/>
  <c r="H135" i="3"/>
  <c r="D24" i="1"/>
  <c r="H23" i="9"/>
  <c r="D20" i="1"/>
  <c r="H35" i="3"/>
  <c r="L72" i="3"/>
  <c r="F74" i="3"/>
  <c r="J9" i="4"/>
  <c r="J8" i="4"/>
  <c r="L90" i="3"/>
  <c r="H90" i="3"/>
  <c r="G13" i="3"/>
  <c r="L28" i="3"/>
  <c r="G17" i="3"/>
  <c r="G16" i="3"/>
  <c r="G26" i="3"/>
  <c r="H28" i="3"/>
  <c r="G10" i="3"/>
  <c r="G11" i="3"/>
  <c r="G28" i="3"/>
  <c r="G22" i="3"/>
  <c r="G24" i="3"/>
  <c r="G23" i="3"/>
  <c r="G19" i="3"/>
  <c r="H9" i="3"/>
  <c r="J24" i="2"/>
  <c r="H9" i="9"/>
  <c r="J33" i="2"/>
  <c r="I51" i="2"/>
  <c r="H30" i="9" l="1"/>
  <c r="G24" i="9"/>
  <c r="H120" i="3"/>
  <c r="G29" i="9"/>
  <c r="H21" i="3"/>
  <c r="G17" i="9"/>
  <c r="D18" i="1" s="1"/>
  <c r="L82" i="3"/>
  <c r="G25" i="9"/>
  <c r="D26" i="1" s="1"/>
  <c r="L14" i="3"/>
  <c r="G16" i="9"/>
  <c r="H16" i="9" s="1"/>
  <c r="L105" i="3"/>
  <c r="G28" i="9"/>
  <c r="H28" i="9" s="1"/>
  <c r="L42" i="3"/>
  <c r="G20" i="9"/>
  <c r="H20" i="9" s="1"/>
  <c r="H13" i="9"/>
  <c r="G13" i="9"/>
  <c r="F44" i="6"/>
  <c r="J43" i="6" s="1"/>
  <c r="J44" i="6" s="1"/>
  <c r="D52" i="9"/>
  <c r="F51" i="9" s="1"/>
  <c r="F52" i="9" s="1"/>
  <c r="G51" i="9" s="1"/>
  <c r="D61" i="1" s="1"/>
  <c r="H51" i="5"/>
  <c r="F14" i="1"/>
  <c r="F43" i="1" s="1"/>
  <c r="F52" i="1" s="1"/>
  <c r="F59" i="1" s="1"/>
  <c r="F163" i="3"/>
  <c r="D38" i="16"/>
  <c r="D42" i="16" s="1"/>
  <c r="D49" i="16" s="1"/>
  <c r="G16" i="16"/>
  <c r="G38" i="16" s="1"/>
  <c r="G42" i="16" s="1"/>
  <c r="D38" i="15"/>
  <c r="D42" i="15" s="1"/>
  <c r="D49" i="15" s="1"/>
  <c r="G16" i="15"/>
  <c r="G38" i="15" s="1"/>
  <c r="G42" i="15" s="1"/>
  <c r="C13" i="16"/>
  <c r="C42" i="16" s="1"/>
  <c r="C49" i="16" s="1"/>
  <c r="C52" i="16" s="1"/>
  <c r="C13" i="15"/>
  <c r="C42" i="15" s="1"/>
  <c r="C49" i="15" s="1"/>
  <c r="C52" i="15" s="1"/>
  <c r="H44" i="6"/>
  <c r="G45" i="16"/>
  <c r="G47" i="16" s="1"/>
  <c r="F47" i="16"/>
  <c r="F49" i="16" s="1"/>
  <c r="F51" i="5"/>
  <c r="J50" i="5" s="1"/>
  <c r="F61" i="1" s="1"/>
  <c r="F47" i="15"/>
  <c r="F49" i="15" s="1"/>
  <c r="G45" i="15"/>
  <c r="G47" i="15" s="1"/>
  <c r="H45" i="9"/>
  <c r="H47" i="9" s="1"/>
  <c r="F42" i="9"/>
  <c r="D23" i="1"/>
  <c r="D32" i="1"/>
  <c r="H105" i="3"/>
  <c r="H27" i="9"/>
  <c r="H21" i="9"/>
  <c r="L21" i="3"/>
  <c r="H42" i="3"/>
  <c r="H82" i="3"/>
  <c r="L120" i="3"/>
  <c r="H19" i="9"/>
  <c r="H14" i="3"/>
  <c r="J51" i="2"/>
  <c r="H74" i="3"/>
  <c r="L74" i="3"/>
  <c r="H15" i="4"/>
  <c r="H26" i="9"/>
  <c r="D27" i="1"/>
  <c r="H18" i="9"/>
  <c r="D19" i="1"/>
  <c r="H61" i="1" l="1"/>
  <c r="H62" i="1" s="1"/>
  <c r="J32" i="3"/>
  <c r="E51" i="9"/>
  <c r="E52" i="9" s="1"/>
  <c r="L8" i="4"/>
  <c r="F62" i="1"/>
  <c r="J51" i="5"/>
  <c r="E51" i="15"/>
  <c r="E52" i="15" s="1"/>
  <c r="F51" i="15" s="1"/>
  <c r="F52" i="15" s="1"/>
  <c r="D51" i="15"/>
  <c r="D52" i="15" s="1"/>
  <c r="E51" i="16"/>
  <c r="E52" i="16" s="1"/>
  <c r="F51" i="16" s="1"/>
  <c r="F52" i="16" s="1"/>
  <c r="D51" i="16"/>
  <c r="D52" i="16" s="1"/>
  <c r="G49" i="15"/>
  <c r="D29" i="1"/>
  <c r="G49" i="16"/>
  <c r="H17" i="9"/>
  <c r="H25" i="9"/>
  <c r="D21" i="1"/>
  <c r="J97" i="3"/>
  <c r="J73" i="3"/>
  <c r="J127" i="3"/>
  <c r="J14" i="3"/>
  <c r="J60" i="3"/>
  <c r="J133" i="3"/>
  <c r="J103" i="3"/>
  <c r="J104" i="3"/>
  <c r="J17" i="3"/>
  <c r="J69" i="3"/>
  <c r="J68" i="3"/>
  <c r="J123" i="3"/>
  <c r="J88" i="3"/>
  <c r="J94" i="3"/>
  <c r="J131" i="3"/>
  <c r="J12" i="3"/>
  <c r="J143" i="3"/>
  <c r="J96" i="3"/>
  <c r="J59" i="3"/>
  <c r="J49" i="3"/>
  <c r="J163" i="3"/>
  <c r="J19" i="3"/>
  <c r="J118" i="3"/>
  <c r="J135" i="3"/>
  <c r="J95" i="3"/>
  <c r="J90" i="3"/>
  <c r="L163" i="3"/>
  <c r="J87" i="3"/>
  <c r="J89" i="3"/>
  <c r="J124" i="3"/>
  <c r="J34" i="3"/>
  <c r="J81" i="3"/>
  <c r="J77" i="3"/>
  <c r="J157" i="3"/>
  <c r="J85" i="3"/>
  <c r="J66" i="3"/>
  <c r="J101" i="3"/>
  <c r="J152" i="3"/>
  <c r="J40" i="3"/>
  <c r="J11" i="3"/>
  <c r="J100" i="3"/>
  <c r="J42" i="3"/>
  <c r="J65" i="3"/>
  <c r="J45" i="3"/>
  <c r="J10" i="3"/>
  <c r="J67" i="3"/>
  <c r="J132" i="3"/>
  <c r="H163" i="3"/>
  <c r="J28" i="3"/>
  <c r="J26" i="3"/>
  <c r="J93" i="3"/>
  <c r="J119" i="3"/>
  <c r="J27" i="3"/>
  <c r="J139" i="3"/>
  <c r="J128" i="3"/>
  <c r="J13" i="3"/>
  <c r="J39" i="3"/>
  <c r="J47" i="3"/>
  <c r="J117" i="3"/>
  <c r="J31" i="3"/>
  <c r="J46" i="3"/>
  <c r="J134" i="3"/>
  <c r="J21" i="3"/>
  <c r="J20" i="3"/>
  <c r="J41" i="3"/>
  <c r="J24" i="3"/>
  <c r="J140" i="3"/>
  <c r="J138" i="3"/>
  <c r="J120" i="3"/>
  <c r="J33" i="3"/>
  <c r="J147" i="3"/>
  <c r="J25" i="3"/>
  <c r="J74" i="3"/>
  <c r="J86" i="3"/>
  <c r="J125" i="3"/>
  <c r="J161" i="3"/>
  <c r="J62" i="3"/>
  <c r="J18" i="3"/>
  <c r="J116" i="3"/>
  <c r="J144" i="3"/>
  <c r="J35" i="3"/>
  <c r="J102" i="3"/>
  <c r="J156" i="3"/>
  <c r="J48" i="3"/>
  <c r="J149" i="3"/>
  <c r="J115" i="3"/>
  <c r="J82" i="3"/>
  <c r="J78" i="3"/>
  <c r="J38" i="3"/>
  <c r="J72" i="3"/>
  <c r="J105" i="3"/>
  <c r="J160" i="3"/>
  <c r="J153" i="3"/>
  <c r="J148" i="3"/>
  <c r="J126" i="3"/>
  <c r="D30" i="1"/>
  <c r="H29" i="9"/>
  <c r="D17" i="1"/>
  <c r="G38" i="9"/>
  <c r="L13" i="4"/>
  <c r="D25" i="1"/>
  <c r="H24" i="9"/>
  <c r="L10" i="4"/>
  <c r="J15" i="4"/>
  <c r="L9" i="4"/>
  <c r="L11" i="4"/>
  <c r="L12" i="4"/>
  <c r="G42" i="9" l="1"/>
  <c r="G49" i="9" s="1"/>
  <c r="G52" i="9" s="1"/>
  <c r="H38" i="9"/>
  <c r="H42" i="9" s="1"/>
  <c r="H49" i="9" s="1"/>
  <c r="D39" i="1"/>
  <c r="D43" i="1" s="1"/>
  <c r="D52" i="1" s="1"/>
  <c r="D59" i="1" s="1"/>
  <c r="D62" i="1" s="1"/>
  <c r="L15" i="4"/>
</calcChain>
</file>

<file path=xl/sharedStrings.xml><?xml version="1.0" encoding="utf-8"?>
<sst xmlns="http://schemas.openxmlformats.org/spreadsheetml/2006/main" count="741" uniqueCount="249">
  <si>
    <t>Lewisville Independent School District</t>
  </si>
  <si>
    <t>Audited</t>
  </si>
  <si>
    <t>Budget</t>
  </si>
  <si>
    <t>Revenues</t>
  </si>
  <si>
    <t>Expenditures</t>
  </si>
  <si>
    <t>Instruction</t>
  </si>
  <si>
    <t>Instructional Resources &amp; Media Services</t>
  </si>
  <si>
    <t>Curriculum &amp; Staff Development</t>
  </si>
  <si>
    <t>Instruction Leadership</t>
  </si>
  <si>
    <t>School Leadership</t>
  </si>
  <si>
    <t>Guidance, Counseling, &amp; Evaluation Services</t>
  </si>
  <si>
    <t>Social Work Services</t>
  </si>
  <si>
    <t>Health Services</t>
  </si>
  <si>
    <t>Student Transportation</t>
  </si>
  <si>
    <t>Food Service</t>
  </si>
  <si>
    <t>Cocurricular/Extracurricular Activities</t>
  </si>
  <si>
    <t>General Administration</t>
  </si>
  <si>
    <t>Plant Maintenance and Operations</t>
  </si>
  <si>
    <t>Security and Monitoring Services</t>
  </si>
  <si>
    <t>Data Processing Services</t>
  </si>
  <si>
    <t>Community Services</t>
  </si>
  <si>
    <t>Debt Service</t>
  </si>
  <si>
    <t>Facilities Acquisition and Construction</t>
  </si>
  <si>
    <t>Payments to Fiscal Agents/Shared Service</t>
  </si>
  <si>
    <t>Other Intergovernmental Charges</t>
  </si>
  <si>
    <t xml:space="preserve">    Total Expenditures</t>
  </si>
  <si>
    <t>Excess(Deficiencies)</t>
  </si>
  <si>
    <t>Revenue over Expenditures</t>
  </si>
  <si>
    <t>Other Financing Resources ( Uses)</t>
  </si>
  <si>
    <t xml:space="preserve">  Other Resources</t>
  </si>
  <si>
    <t xml:space="preserve">  Other Uses</t>
  </si>
  <si>
    <t xml:space="preserve">    Total Other Financing Resources (Uses)</t>
  </si>
  <si>
    <t>Other Financial Resources Over Expenditures</t>
  </si>
  <si>
    <t>and Other Financial Uses</t>
  </si>
  <si>
    <t>Fund Balance, beginning, 9/1</t>
  </si>
  <si>
    <t xml:space="preserve">   Fund Balance, ending, 8/31</t>
  </si>
  <si>
    <t>Property Tax Revenue</t>
  </si>
  <si>
    <t>Other Local Revenue</t>
  </si>
  <si>
    <t>State Revenue</t>
  </si>
  <si>
    <t>Combined Funds - General, Food Service, and Debt Service</t>
  </si>
  <si>
    <t>General</t>
  </si>
  <si>
    <t>Fund</t>
  </si>
  <si>
    <t>Federal Revenue</t>
  </si>
  <si>
    <t>Other Resources</t>
  </si>
  <si>
    <t>Projected</t>
  </si>
  <si>
    <t>Actual</t>
  </si>
  <si>
    <t>General Fund Revenue by Object</t>
  </si>
  <si>
    <t>Expenditure Summary by Major Object within Function</t>
  </si>
  <si>
    <t>Percent</t>
  </si>
  <si>
    <t>Increase</t>
  </si>
  <si>
    <t>(Decrease)</t>
  </si>
  <si>
    <t>of Total</t>
  </si>
  <si>
    <t>11 - Instruction</t>
  </si>
  <si>
    <t>6100 Payroll costs</t>
  </si>
  <si>
    <t>6200 Purchased and contracted services</t>
  </si>
  <si>
    <t>6300 Supplies and materials</t>
  </si>
  <si>
    <t>6400 Other operating expenditures</t>
  </si>
  <si>
    <t>6600 Capital outlay</t>
  </si>
  <si>
    <t>Total Function 11</t>
  </si>
  <si>
    <t>12 - Instructional resources and media</t>
  </si>
  <si>
    <t>Total Function 12</t>
  </si>
  <si>
    <t>13 - Curriculum &amp; Staff Development</t>
  </si>
  <si>
    <t>Total Function 13</t>
  </si>
  <si>
    <t>21 - Instructional Leadership</t>
  </si>
  <si>
    <t>Total Function 21</t>
  </si>
  <si>
    <t>23 - School Leadership</t>
  </si>
  <si>
    <t>Total Function 23</t>
  </si>
  <si>
    <t>31 - Guidance, Counseling &amp; Eval.</t>
  </si>
  <si>
    <t>6300 Supplies and Materials</t>
  </si>
  <si>
    <t>Total Function 31</t>
  </si>
  <si>
    <t>32 - Social Work Services</t>
  </si>
  <si>
    <t>Total Function 32</t>
  </si>
  <si>
    <t>33 - Health Services</t>
  </si>
  <si>
    <t>Total Function 33</t>
  </si>
  <si>
    <t>34 - Student Transportation</t>
  </si>
  <si>
    <t>Total Function 34</t>
  </si>
  <si>
    <t>36 - Cocurricular/Extra curricular</t>
  </si>
  <si>
    <t>Total Function 36</t>
  </si>
  <si>
    <t>41 - General Administration</t>
  </si>
  <si>
    <t>Total Function 41</t>
  </si>
  <si>
    <t>6100 Payroll Costs</t>
  </si>
  <si>
    <t>Total Function 51</t>
  </si>
  <si>
    <t>52 - Security &amp; Monitoring</t>
  </si>
  <si>
    <t>Total Function 52</t>
  </si>
  <si>
    <t>53 - Data Processing</t>
  </si>
  <si>
    <t>Total Function 53</t>
  </si>
  <si>
    <t>61 - Community Services</t>
  </si>
  <si>
    <t>Total Function 61</t>
  </si>
  <si>
    <t>Total Function 81</t>
  </si>
  <si>
    <t>93 - Payments to Fiscal Agent Shared Service</t>
  </si>
  <si>
    <t>6400 Other Operating Expenditures</t>
  </si>
  <si>
    <t>Total Function 93</t>
  </si>
  <si>
    <t>Total Function 95</t>
  </si>
  <si>
    <t>99 - Other Intergovernmental Charges</t>
  </si>
  <si>
    <t>Total Function 99</t>
  </si>
  <si>
    <t>Total Expenditures</t>
  </si>
  <si>
    <t>Total Function 35</t>
  </si>
  <si>
    <t>35 - Food Service</t>
  </si>
  <si>
    <t>Expenditure Summary by Major Object</t>
  </si>
  <si>
    <t>61XX</t>
  </si>
  <si>
    <t>Payroll costs</t>
  </si>
  <si>
    <t>62XX</t>
  </si>
  <si>
    <t>Purchased &amp; cont. serv.</t>
  </si>
  <si>
    <t>63XX</t>
  </si>
  <si>
    <t>Supplies &amp; Materials</t>
  </si>
  <si>
    <t>64XX</t>
  </si>
  <si>
    <t>Other operating expend.</t>
  </si>
  <si>
    <t>66XX</t>
  </si>
  <si>
    <t>Capital Outlay</t>
  </si>
  <si>
    <t>Food Service Fund</t>
  </si>
  <si>
    <t>Food Service Activity</t>
  </si>
  <si>
    <t>Other</t>
  </si>
  <si>
    <t>Program Revenue Distributed by TEA</t>
  </si>
  <si>
    <t>TRS on Behalf</t>
  </si>
  <si>
    <t>Total Local Revenues</t>
  </si>
  <si>
    <t>Total State Revenues</t>
  </si>
  <si>
    <t>Local Revenues</t>
  </si>
  <si>
    <t>State Revenues</t>
  </si>
  <si>
    <t>Federal Breakfast Reimbursement</t>
  </si>
  <si>
    <t>Federal Lunch Reimbursement</t>
  </si>
  <si>
    <t>USDA Commodities</t>
  </si>
  <si>
    <t>Total Federal Revenues</t>
  </si>
  <si>
    <t>Payroll</t>
  </si>
  <si>
    <t>Contracted Services</t>
  </si>
  <si>
    <t>Supplies and Materials</t>
  </si>
  <si>
    <t>Other Operating Costs</t>
  </si>
  <si>
    <t>Debt Service Fund</t>
  </si>
  <si>
    <t>Current Property Tax Collections</t>
  </si>
  <si>
    <t>Delinquent Property Tax Collections</t>
  </si>
  <si>
    <t>Penalties and Interest</t>
  </si>
  <si>
    <t>Interest Earnings</t>
  </si>
  <si>
    <t>Principal on Bonds</t>
  </si>
  <si>
    <t>Interest on Bonds</t>
  </si>
  <si>
    <t>Other Debt Service Fees</t>
  </si>
  <si>
    <t>Current Tax Collections</t>
  </si>
  <si>
    <t>Delinquent Tax Collections</t>
  </si>
  <si>
    <t>Tuition and Fees Local Sources</t>
  </si>
  <si>
    <t>Rent</t>
  </si>
  <si>
    <t>Revenue from Foundations</t>
  </si>
  <si>
    <t>Insurance Recovery</t>
  </si>
  <si>
    <t>Athletic Activity</t>
  </si>
  <si>
    <t>Enterprising Services Revenue</t>
  </si>
  <si>
    <t>Cocurricular Enterprising Services</t>
  </si>
  <si>
    <t>Sale of Real Property</t>
  </si>
  <si>
    <t>Impact Aid</t>
  </si>
  <si>
    <t>Federal Rev Dist by State</t>
  </si>
  <si>
    <t>School Health Related Services</t>
  </si>
  <si>
    <t>Per Capita Apportionment</t>
  </si>
  <si>
    <t>Other Foundation Sch Prog Act</t>
  </si>
  <si>
    <t>Proposed Budget              FY 12-13</t>
  </si>
  <si>
    <t>General Fund</t>
  </si>
  <si>
    <t>Adopted Budget       FY11-12</t>
  </si>
  <si>
    <t>Federal Revenues</t>
  </si>
  <si>
    <t>Federal Program Revenues</t>
  </si>
  <si>
    <t>Adopted Budget</t>
  </si>
  <si>
    <t>Over Expenditures</t>
  </si>
  <si>
    <t>81 - Facilities Acquisition &amp; Construction</t>
  </si>
  <si>
    <t>Projected Actual</t>
  </si>
  <si>
    <t>Net Change in Fund Balance</t>
  </si>
  <si>
    <t>Proceeds from Capital Leases</t>
  </si>
  <si>
    <t>71 - Debt Service</t>
  </si>
  <si>
    <t>6500 Debt Service</t>
  </si>
  <si>
    <t>Total Other Resources</t>
  </si>
  <si>
    <t>Foundation School Prog Revenue</t>
  </si>
  <si>
    <t>2016-17</t>
  </si>
  <si>
    <t>Operating Transfers In</t>
  </si>
  <si>
    <t>Projected Actual             FY 16-17</t>
  </si>
  <si>
    <t>Total Function 71</t>
  </si>
  <si>
    <t>LHS SCOREBOARD</t>
  </si>
  <si>
    <t xml:space="preserve">Tax Appraisal &amp; Collections </t>
  </si>
  <si>
    <t>FY 2016-17</t>
  </si>
  <si>
    <t>FY 2017-18</t>
  </si>
  <si>
    <t>Change from</t>
  </si>
  <si>
    <t>Budget to</t>
  </si>
  <si>
    <t>FY 2018-19</t>
  </si>
  <si>
    <t>Excess (Deficiencies) of</t>
  </si>
  <si>
    <t>Revenues over Expenditures</t>
  </si>
  <si>
    <t>Other Federal Revenues</t>
  </si>
  <si>
    <t>Total Function 91</t>
  </si>
  <si>
    <t>Contracted Services Between Public Schools</t>
  </si>
  <si>
    <t>at 8/31/2018</t>
  </si>
  <si>
    <t>OUTSIDE OF PRINT RANGE</t>
  </si>
  <si>
    <t>Add to Accr</t>
  </si>
  <si>
    <t>Salary payable</t>
  </si>
  <si>
    <t>Cash Basis</t>
  </si>
  <si>
    <t>For The</t>
  </si>
  <si>
    <t>Fiscal Year</t>
  </si>
  <si>
    <t>Supporting Schedules For</t>
  </si>
  <si>
    <t>Other Financing Resources (Uses)</t>
  </si>
  <si>
    <t>51 - Maintenance</t>
  </si>
  <si>
    <t xml:space="preserve">65XX </t>
  </si>
  <si>
    <t xml:space="preserve">    Total Revenues</t>
  </si>
  <si>
    <t>Audited Actual</t>
  </si>
  <si>
    <t>Juvenile Justice Alternative Ed. Program</t>
  </si>
  <si>
    <t>Excess (Deficiencies) of Revenues</t>
  </si>
  <si>
    <t>Total Revenues and Other Resources</t>
  </si>
  <si>
    <t>Other Revenue from Local Sources</t>
  </si>
  <si>
    <t>Extracurricular Other than Athletics</t>
  </si>
  <si>
    <t>Misc. Rev. Intermediate Sources (JJAEP)</t>
  </si>
  <si>
    <t>Foundation School Program Revenue</t>
  </si>
  <si>
    <t>State Program Revenue Distr. by TEA</t>
  </si>
  <si>
    <t>Federal Revenue Distr. by TEA</t>
  </si>
  <si>
    <t>Federal Revenue Distr. by Federal Govt.</t>
  </si>
  <si>
    <t>91 - Contracted Services Between Public  Schools</t>
  </si>
  <si>
    <t>Excess (Deficiencies) of Revenues and</t>
  </si>
  <si>
    <t>95 - Juvenile Justice Alternative Ed. Program</t>
  </si>
  <si>
    <t>Added for SRO's approved by BOT 6/4/2018</t>
  </si>
  <si>
    <t>Add expected increase to Prop &amp; Casualty Insurance</t>
  </si>
  <si>
    <t>Adopted</t>
  </si>
  <si>
    <t>Adopted Tax Rate</t>
  </si>
  <si>
    <t>2019-20 Exp</t>
  </si>
  <si>
    <t>DRAFT Budget</t>
  </si>
  <si>
    <t>FY 2019-20</t>
  </si>
  <si>
    <t>2018-19 Adopted</t>
  </si>
  <si>
    <t>2019-20</t>
  </si>
  <si>
    <t>Add contingincy funds</t>
  </si>
  <si>
    <t xml:space="preserve"> Add amt for unlocated error in coding</t>
  </si>
  <si>
    <t>Add 7,500,000 for raises; move 3,799,834 to Func 36</t>
  </si>
  <si>
    <t>Total Increase by Percentage:</t>
  </si>
  <si>
    <t>MIKE,</t>
  </si>
  <si>
    <t xml:space="preserve">THIS TAB IS CALCULATED ON THE 2% ONLY </t>
  </si>
  <si>
    <t>FY 2020-21</t>
  </si>
  <si>
    <t>Audited Actual             FY 2018-19</t>
  </si>
  <si>
    <t>Adopted Budget              FY 2019-20</t>
  </si>
  <si>
    <t>2019-20 Adopted</t>
  </si>
  <si>
    <t>2020-21</t>
  </si>
  <si>
    <t>2020-2021</t>
  </si>
  <si>
    <t>(Fiscal Year Ending August 31, 2021)</t>
  </si>
  <si>
    <t>ASF Plus TRS on Behalf</t>
  </si>
  <si>
    <t>8% PV Growth</t>
  </si>
  <si>
    <t>IMPACT AID &amp; SHARES</t>
  </si>
  <si>
    <t>Overall Revenue is up by 5.3%</t>
  </si>
  <si>
    <t>Overall Expenditures are up by 6.1%</t>
  </si>
  <si>
    <t>Recapture</t>
  </si>
  <si>
    <t>UIL Pay increase(11.5%) - Increase due to New Bus Company for Student Travel,supplies, travel</t>
  </si>
  <si>
    <t xml:space="preserve">Insurance Rate up 3% </t>
  </si>
  <si>
    <t xml:space="preserve">(6.5% Increse) 1Mil Sub/Extra Duty - $1.4 Supplies Act - </t>
  </si>
  <si>
    <t>Meet New Mandated Programs  (Payroll)</t>
  </si>
  <si>
    <t>Item #</t>
  </si>
  <si>
    <t>savings due to purchase of LISD buses</t>
  </si>
  <si>
    <t>Utilities budget was decreased</t>
  </si>
  <si>
    <t>General supplies  and contracted services were reduecd</t>
  </si>
  <si>
    <t>Item#</t>
  </si>
  <si>
    <t>Proposed</t>
  </si>
  <si>
    <t>n/a</t>
  </si>
  <si>
    <t>Adopted by Board of School Trustees</t>
  </si>
  <si>
    <t>Adopted Budget for the Fiscal Year Ending August 31, 2021</t>
  </si>
  <si>
    <t>Adopted Budget              FY 2020-21</t>
  </si>
  <si>
    <t>Change from        2019-20 Adopted Budget to            2020-21    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</si>
</sst>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%\ ;\(0.00%\)"/>
    <numFmt numFmtId="167" formatCode="_(* #,##0_);_(* \(#,##0\);_(* &quot;-&quot;??_);_(@_)"/>
    <numFmt numFmtId="168" formatCode="_(* #,##0.000000_);_(* \(#,##0.000000\);_(* &quot;-&quot;??_);_(@_)"/>
    <numFmt numFmtId="169" formatCode="0.00000"/>
    <numFmt numFmtId="170" formatCode="mmmm\ d\,\ yyyy"/>
    <numFmt numFmtId="171" formatCode="_(&quot;$&quot;* #,##0.00000_);_(&quot;$&quot;* \(#,##0.00000\);_(&quot;$&quot;* &quot;-&quot;?????_);_(@_)"/>
    <numFmt numFmtId="172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rgb="FFFF00FF"/>
        <bgColor indexed="64"/>
      </patternFill>
    </fill>
    <fill>
      <patternFill patternType="solid">
        <fgColor rgb="FF33CC3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6" fillId="3" borderId="0"/>
  </cellStyleXfs>
  <cellXfs count="372">
    <xf numFmtId="0" fontId="0" fillId="0" borderId="0" xfId="0"/>
    <xf numFmtId="0" fontId="3" fillId="0" borderId="0" xfId="3"/>
    <xf numFmtId="0" fontId="5" fillId="0" borderId="0" xfId="3" applyFont="1" applyFill="1"/>
    <xf numFmtId="0" fontId="5" fillId="0" borderId="0" xfId="3" applyFont="1" applyFill="1" applyAlignment="1">
      <alignment horizontal="center"/>
    </xf>
    <xf numFmtId="6" fontId="3" fillId="0" borderId="0" xfId="3" applyNumberFormat="1" applyFill="1"/>
    <xf numFmtId="0" fontId="4" fillId="0" borderId="0" xfId="3" applyFont="1" applyFill="1"/>
    <xf numFmtId="38" fontId="4" fillId="0" borderId="0" xfId="3" applyNumberFormat="1" applyFont="1" applyFill="1"/>
    <xf numFmtId="6" fontId="4" fillId="0" borderId="0" xfId="3" applyNumberFormat="1" applyFont="1" applyFill="1"/>
    <xf numFmtId="0" fontId="6" fillId="0" borderId="0" xfId="3" applyFont="1" applyFill="1" applyAlignment="1"/>
    <xf numFmtId="0" fontId="6" fillId="0" borderId="0" xfId="3" applyFont="1" applyFill="1"/>
    <xf numFmtId="6" fontId="5" fillId="0" borderId="0" xfId="3" applyNumberFormat="1" applyFont="1" applyFill="1" applyAlignment="1">
      <alignment horizontal="center"/>
    </xf>
    <xf numFmtId="38" fontId="5" fillId="0" borderId="0" xfId="3" applyNumberFormat="1" applyFont="1" applyFill="1" applyAlignment="1">
      <alignment horizontal="right"/>
    </xf>
    <xf numFmtId="38" fontId="5" fillId="0" borderId="0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left"/>
    </xf>
    <xf numFmtId="41" fontId="4" fillId="0" borderId="0" xfId="3" applyNumberFormat="1" applyFont="1" applyFill="1"/>
    <xf numFmtId="41" fontId="4" fillId="0" borderId="0" xfId="3" applyNumberFormat="1" applyFont="1" applyFill="1" applyAlignment="1">
      <alignment horizontal="right"/>
    </xf>
    <xf numFmtId="0" fontId="5" fillId="0" borderId="0" xfId="3" applyFont="1" applyFill="1" applyBorder="1"/>
    <xf numFmtId="5" fontId="4" fillId="0" borderId="0" xfId="3" applyNumberFormat="1" applyFont="1" applyFill="1" applyBorder="1"/>
    <xf numFmtId="0" fontId="6" fillId="0" borderId="0" xfId="3" applyFont="1" applyFill="1" applyBorder="1" applyAlignment="1"/>
    <xf numFmtId="0" fontId="3" fillId="0" borderId="0" xfId="3" applyFill="1" applyAlignment="1">
      <alignment textRotation="45"/>
    </xf>
    <xf numFmtId="0" fontId="0" fillId="0" borderId="0" xfId="0"/>
    <xf numFmtId="10" fontId="8" fillId="0" borderId="0" xfId="47" applyNumberFormat="1" applyFont="1" applyFill="1" applyAlignment="1">
      <alignment horizontal="right"/>
    </xf>
    <xf numFmtId="166" fontId="8" fillId="0" borderId="0" xfId="47" applyNumberFormat="1" applyFont="1" applyFill="1" applyAlignment="1">
      <alignment horizontal="right"/>
    </xf>
    <xf numFmtId="166" fontId="8" fillId="0" borderId="0" xfId="47" applyNumberFormat="1" applyFont="1" applyFill="1" applyBorder="1" applyAlignment="1">
      <alignment horizontal="right"/>
    </xf>
    <xf numFmtId="2" fontId="7" fillId="0" borderId="0" xfId="47" applyNumberFormat="1" applyFont="1" applyFill="1" applyAlignment="1">
      <alignment horizontal="center"/>
    </xf>
    <xf numFmtId="2" fontId="7" fillId="0" borderId="1" xfId="47" applyNumberFormat="1" applyFont="1" applyFill="1" applyBorder="1" applyAlignment="1">
      <alignment horizontal="center"/>
    </xf>
    <xf numFmtId="2" fontId="8" fillId="0" borderId="0" xfId="47" applyNumberFormat="1" applyFont="1" applyFill="1" applyAlignment="1">
      <alignment horizontal="center"/>
    </xf>
    <xf numFmtId="166" fontId="8" fillId="0" borderId="0" xfId="47" applyNumberFormat="1" applyFont="1" applyFill="1" applyAlignment="1">
      <alignment horizontal="center"/>
    </xf>
    <xf numFmtId="166" fontId="8" fillId="0" borderId="0" xfId="47" applyNumberFormat="1" applyFont="1" applyFill="1"/>
    <xf numFmtId="0" fontId="0" fillId="0" borderId="0" xfId="0" applyFill="1"/>
    <xf numFmtId="41" fontId="4" fillId="0" borderId="0" xfId="15" applyNumberFormat="1" applyFont="1" applyFill="1" applyAlignment="1">
      <alignment horizontal="right"/>
    </xf>
    <xf numFmtId="0" fontId="9" fillId="0" borderId="0" xfId="0" applyFont="1"/>
    <xf numFmtId="167" fontId="9" fillId="0" borderId="0" xfId="1" applyNumberFormat="1" applyFont="1"/>
    <xf numFmtId="167" fontId="9" fillId="0" borderId="0" xfId="1" applyNumberFormat="1" applyFont="1" applyAlignment="1">
      <alignment horizontal="center"/>
    </xf>
    <xf numFmtId="165" fontId="9" fillId="0" borderId="0" xfId="2" applyNumberFormat="1" applyFont="1"/>
    <xf numFmtId="167" fontId="9" fillId="0" borderId="0" xfId="1" applyNumberFormat="1" applyFont="1" applyFill="1"/>
    <xf numFmtId="167" fontId="9" fillId="0" borderId="3" xfId="1" applyNumberFormat="1" applyFont="1" applyBorder="1"/>
    <xf numFmtId="165" fontId="9" fillId="0" borderId="4" xfId="2" applyNumberFormat="1" applyFont="1" applyBorder="1"/>
    <xf numFmtId="165" fontId="9" fillId="0" borderId="0" xfId="2" applyNumberFormat="1" applyFont="1" applyBorder="1"/>
    <xf numFmtId="6" fontId="5" fillId="0" borderId="0" xfId="3" applyNumberFormat="1" applyFont="1" applyFill="1" applyBorder="1" applyAlignment="1">
      <alignment horizontal="center"/>
    </xf>
    <xf numFmtId="0" fontId="5" fillId="0" borderId="0" xfId="3" applyFont="1" applyFill="1" applyAlignment="1">
      <alignment horizontal="left"/>
    </xf>
    <xf numFmtId="0" fontId="0" fillId="0" borderId="0" xfId="0" applyBorder="1"/>
    <xf numFmtId="167" fontId="9" fillId="0" borderId="0" xfId="1" applyNumberFormat="1" applyFont="1" applyAlignment="1">
      <alignment horizontal="center" wrapText="1"/>
    </xf>
    <xf numFmtId="165" fontId="4" fillId="0" borderId="4" xfId="2" applyNumberFormat="1" applyFont="1" applyFill="1" applyBorder="1"/>
    <xf numFmtId="167" fontId="9" fillId="2" borderId="0" xfId="1" applyNumberFormat="1" applyFont="1" applyFill="1"/>
    <xf numFmtId="3" fontId="5" fillId="0" borderId="0" xfId="47" applyNumberFormat="1" applyFont="1" applyFill="1" applyAlignment="1">
      <alignment horizontal="center"/>
    </xf>
    <xf numFmtId="0" fontId="3" fillId="0" borderId="0" xfId="3" applyFont="1" applyFill="1" applyAlignment="1">
      <alignment horizontal="left"/>
    </xf>
    <xf numFmtId="0" fontId="3" fillId="0" borderId="0" xfId="3" applyFill="1"/>
    <xf numFmtId="165" fontId="3" fillId="0" borderId="0" xfId="2" applyNumberFormat="1" applyFont="1" applyFill="1"/>
    <xf numFmtId="167" fontId="9" fillId="0" borderId="0" xfId="1" applyNumberFormat="1" applyFont="1"/>
    <xf numFmtId="6" fontId="5" fillId="0" borderId="0" xfId="3" applyNumberFormat="1" applyFont="1" applyFill="1" applyAlignment="1">
      <alignment horizontal="right"/>
    </xf>
    <xf numFmtId="6" fontId="5" fillId="0" borderId="0" xfId="3" applyNumberFormat="1" applyFont="1" applyFill="1" applyAlignment="1">
      <alignment horizontal="center"/>
    </xf>
    <xf numFmtId="38" fontId="5" fillId="0" borderId="0" xfId="3" applyNumberFormat="1" applyFont="1" applyFill="1" applyAlignment="1">
      <alignment horizontal="right"/>
    </xf>
    <xf numFmtId="6" fontId="5" fillId="0" borderId="1" xfId="3" applyNumberFormat="1" applyFont="1" applyFill="1" applyBorder="1" applyAlignment="1">
      <alignment horizontal="center"/>
    </xf>
    <xf numFmtId="38" fontId="5" fillId="0" borderId="0" xfId="3" applyNumberFormat="1" applyFont="1" applyFill="1" applyBorder="1" applyAlignment="1">
      <alignment horizontal="right"/>
    </xf>
    <xf numFmtId="167" fontId="3" fillId="0" borderId="0" xfId="1" applyNumberFormat="1" applyFont="1" applyFill="1"/>
    <xf numFmtId="0" fontId="0" fillId="0" borderId="0" xfId="0"/>
    <xf numFmtId="10" fontId="0" fillId="0" borderId="0" xfId="57" applyNumberFormat="1" applyFont="1"/>
    <xf numFmtId="10" fontId="4" fillId="0" borderId="0" xfId="57" applyNumberFormat="1" applyFont="1" applyFill="1"/>
    <xf numFmtId="10" fontId="9" fillId="0" borderId="0" xfId="57" applyNumberFormat="1" applyFont="1"/>
    <xf numFmtId="0" fontId="0" fillId="0" borderId="3" xfId="0" applyBorder="1"/>
    <xf numFmtId="0" fontId="9" fillId="0" borderId="3" xfId="0" applyFont="1" applyBorder="1"/>
    <xf numFmtId="0" fontId="5" fillId="0" borderId="1" xfId="3" applyFont="1" applyFill="1" applyBorder="1" applyAlignment="1">
      <alignment horizontal="center"/>
    </xf>
    <xf numFmtId="38" fontId="5" fillId="0" borderId="1" xfId="3" applyNumberFormat="1" applyFont="1" applyFill="1" applyBorder="1" applyAlignment="1">
      <alignment horizontal="center"/>
    </xf>
    <xf numFmtId="168" fontId="0" fillId="0" borderId="0" xfId="0" applyNumberFormat="1"/>
    <xf numFmtId="167" fontId="10" fillId="0" borderId="0" xfId="1" applyNumberFormat="1" applyFont="1" applyFill="1"/>
    <xf numFmtId="0" fontId="2" fillId="0" borderId="0" xfId="0" applyFont="1" applyFill="1" applyAlignment="1">
      <alignment horizontal="center"/>
    </xf>
    <xf numFmtId="41" fontId="3" fillId="0" borderId="0" xfId="3" applyNumberFormat="1" applyFont="1" applyFill="1"/>
    <xf numFmtId="42" fontId="10" fillId="0" borderId="0" xfId="1" applyNumberFormat="1" applyFont="1" applyFill="1"/>
    <xf numFmtId="0" fontId="6" fillId="0" borderId="0" xfId="3" applyFont="1" applyFill="1" applyAlignment="1">
      <alignment horizontal="center"/>
    </xf>
    <xf numFmtId="167" fontId="3" fillId="0" borderId="3" xfId="1" applyNumberFormat="1" applyFont="1" applyFill="1" applyBorder="1"/>
    <xf numFmtId="0" fontId="9" fillId="0" borderId="0" xfId="0" applyFont="1" applyFill="1"/>
    <xf numFmtId="167" fontId="11" fillId="0" borderId="0" xfId="1" applyNumberFormat="1" applyFont="1" applyFill="1"/>
    <xf numFmtId="0" fontId="11" fillId="0" borderId="0" xfId="0" applyFont="1" applyFill="1"/>
    <xf numFmtId="6" fontId="3" fillId="0" borderId="0" xfId="3" applyNumberFormat="1" applyFont="1" applyFill="1"/>
    <xf numFmtId="0" fontId="3" fillId="0" borderId="0" xfId="3" applyFont="1" applyFill="1" applyAlignment="1">
      <alignment horizontal="left" indent="1"/>
    </xf>
    <xf numFmtId="37" fontId="9" fillId="0" borderId="0" xfId="0" applyNumberFormat="1" applyFont="1"/>
    <xf numFmtId="0" fontId="12" fillId="0" borderId="0" xfId="0" applyFont="1"/>
    <xf numFmtId="0" fontId="6" fillId="0" borderId="0" xfId="3" applyFont="1" applyFill="1" applyBorder="1" applyAlignment="1">
      <alignment horizontal="center"/>
    </xf>
    <xf numFmtId="0" fontId="13" fillId="0" borderId="0" xfId="0" applyFont="1"/>
    <xf numFmtId="37" fontId="0" fillId="0" borderId="0" xfId="0" applyNumberFormat="1"/>
    <xf numFmtId="167" fontId="14" fillId="0" borderId="0" xfId="1" applyNumberFormat="1" applyFont="1" applyFill="1"/>
    <xf numFmtId="38" fontId="3" fillId="0" borderId="0" xfId="3" applyNumberFormat="1" applyFont="1" applyFill="1" applyBorder="1"/>
    <xf numFmtId="6" fontId="3" fillId="0" borderId="0" xfId="3" applyNumberFormat="1" applyFont="1" applyFill="1" applyBorder="1"/>
    <xf numFmtId="38" fontId="3" fillId="0" borderId="0" xfId="3" applyNumberFormat="1" applyFont="1" applyFill="1"/>
    <xf numFmtId="0" fontId="3" fillId="0" borderId="0" xfId="3" applyFont="1" applyFill="1"/>
    <xf numFmtId="167" fontId="3" fillId="0" borderId="0" xfId="4" applyNumberFormat="1" applyFont="1" applyFill="1"/>
    <xf numFmtId="38" fontId="3" fillId="0" borderId="3" xfId="3" applyNumberFormat="1" applyFont="1" applyFill="1" applyBorder="1"/>
    <xf numFmtId="167" fontId="3" fillId="0" borderId="0" xfId="1" applyNumberFormat="1" applyFont="1" applyFill="1" applyBorder="1"/>
    <xf numFmtId="41" fontId="3" fillId="0" borderId="1" xfId="3" applyNumberFormat="1" applyFont="1" applyFill="1" applyBorder="1"/>
    <xf numFmtId="41" fontId="3" fillId="0" borderId="3" xfId="3" applyNumberFormat="1" applyFont="1" applyFill="1" applyBorder="1"/>
    <xf numFmtId="41" fontId="3" fillId="0" borderId="1" xfId="3" applyNumberFormat="1" applyFont="1" applyFill="1" applyBorder="1" applyAlignment="1">
      <alignment horizontal="right"/>
    </xf>
    <xf numFmtId="41" fontId="3" fillId="0" borderId="0" xfId="3" applyNumberFormat="1" applyFont="1" applyFill="1" applyAlignment="1">
      <alignment horizontal="right"/>
    </xf>
    <xf numFmtId="41" fontId="3" fillId="0" borderId="0" xfId="3" applyNumberFormat="1" applyFont="1" applyFill="1" applyBorder="1"/>
    <xf numFmtId="165" fontId="3" fillId="0" borderId="2" xfId="2" applyNumberFormat="1" applyFont="1" applyFill="1" applyBorder="1"/>
    <xf numFmtId="41" fontId="3" fillId="0" borderId="0" xfId="15" applyNumberFormat="1" applyFont="1" applyFill="1" applyAlignment="1">
      <alignment horizontal="right"/>
    </xf>
    <xf numFmtId="165" fontId="3" fillId="0" borderId="4" xfId="2" applyNumberFormat="1" applyFont="1" applyFill="1" applyBorder="1"/>
    <xf numFmtId="5" fontId="3" fillId="0" borderId="0" xfId="3" applyNumberFormat="1" applyFont="1" applyFill="1" applyBorder="1"/>
    <xf numFmtId="0" fontId="10" fillId="0" borderId="0" xfId="0" applyFont="1"/>
    <xf numFmtId="0" fontId="10" fillId="0" borderId="0" xfId="0" applyFont="1" applyFill="1"/>
    <xf numFmtId="165" fontId="3" fillId="0" borderId="0" xfId="2" applyNumberFormat="1" applyFont="1" applyFill="1" applyBorder="1"/>
    <xf numFmtId="0" fontId="15" fillId="0" borderId="0" xfId="0" applyFont="1" applyFill="1" applyAlignment="1">
      <alignment horizontal="center"/>
    </xf>
    <xf numFmtId="41" fontId="10" fillId="0" borderId="0" xfId="0" applyNumberFormat="1" applyFont="1" applyFill="1"/>
    <xf numFmtId="0" fontId="14" fillId="0" borderId="0" xfId="0" applyFont="1"/>
    <xf numFmtId="167" fontId="14" fillId="2" borderId="0" xfId="1" applyNumberFormat="1" applyFont="1" applyFill="1"/>
    <xf numFmtId="167" fontId="14" fillId="0" borderId="0" xfId="1" applyNumberFormat="1" applyFont="1"/>
    <xf numFmtId="165" fontId="14" fillId="0" borderId="0" xfId="2" applyNumberFormat="1" applyFont="1" applyFill="1" applyBorder="1"/>
    <xf numFmtId="0" fontId="14" fillId="0" borderId="0" xfId="0" applyFont="1" applyAlignment="1">
      <alignment horizontal="right"/>
    </xf>
    <xf numFmtId="165" fontId="14" fillId="2" borderId="0" xfId="2" applyNumberFormat="1" applyFont="1" applyFill="1" applyBorder="1"/>
    <xf numFmtId="165" fontId="14" fillId="0" borderId="0" xfId="2" applyNumberFormat="1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37" fontId="9" fillId="0" borderId="5" xfId="0" applyNumberFormat="1" applyFont="1" applyBorder="1"/>
    <xf numFmtId="37" fontId="9" fillId="0" borderId="6" xfId="0" applyNumberFormat="1" applyFont="1" applyBorder="1"/>
    <xf numFmtId="37" fontId="9" fillId="0" borderId="7" xfId="0" applyNumberFormat="1" applyFont="1" applyBorder="1"/>
    <xf numFmtId="42" fontId="3" fillId="0" borderId="2" xfId="3" applyNumberFormat="1" applyFont="1" applyFill="1" applyBorder="1" applyAlignment="1">
      <alignment horizontal="right"/>
    </xf>
    <xf numFmtId="0" fontId="16" fillId="3" borderId="0" xfId="66" applyNumberFormat="1" applyFill="1"/>
    <xf numFmtId="0" fontId="16" fillId="3" borderId="8" xfId="66" applyNumberFormat="1" applyFill="1" applyBorder="1"/>
    <xf numFmtId="0" fontId="16" fillId="3" borderId="9" xfId="66" applyNumberFormat="1" applyFill="1" applyBorder="1"/>
    <xf numFmtId="0" fontId="16" fillId="3" borderId="10" xfId="66" applyNumberFormat="1" applyFill="1" applyBorder="1"/>
    <xf numFmtId="0" fontId="16" fillId="3" borderId="0" xfId="66" applyNumberFormat="1" applyFill="1" applyBorder="1"/>
    <xf numFmtId="0" fontId="16" fillId="3" borderId="11" xfId="66" applyNumberFormat="1" applyFill="1" applyBorder="1"/>
    <xf numFmtId="0" fontId="16" fillId="3" borderId="12" xfId="66" applyNumberFormat="1" applyFill="1" applyBorder="1"/>
    <xf numFmtId="0" fontId="17" fillId="4" borderId="11" xfId="66" applyNumberFormat="1" applyFont="1" applyFill="1" applyBorder="1"/>
    <xf numFmtId="0" fontId="17" fillId="4" borderId="0" xfId="66" applyNumberFormat="1" applyFont="1" applyFill="1" applyBorder="1"/>
    <xf numFmtId="0" fontId="18" fillId="4" borderId="0" xfId="66" applyNumberFormat="1" applyFont="1" applyFill="1" applyBorder="1" applyAlignment="1">
      <alignment horizontal="centerContinuous"/>
    </xf>
    <xf numFmtId="0" fontId="17" fillId="4" borderId="0" xfId="66" applyNumberFormat="1" applyFont="1" applyFill="1" applyBorder="1" applyAlignment="1">
      <alignment horizontal="centerContinuous"/>
    </xf>
    <xf numFmtId="0" fontId="19" fillId="4" borderId="11" xfId="66" applyNumberFormat="1" applyFont="1" applyFill="1" applyBorder="1" applyAlignment="1">
      <alignment horizontal="centerContinuous"/>
    </xf>
    <xf numFmtId="0" fontId="18" fillId="4" borderId="11" xfId="66" applyNumberFormat="1" applyFont="1" applyFill="1" applyBorder="1" applyAlignment="1">
      <alignment horizontal="centerContinuous"/>
    </xf>
    <xf numFmtId="0" fontId="18" fillId="4" borderId="13" xfId="66" applyNumberFormat="1" applyFont="1" applyFill="1" applyBorder="1" applyAlignment="1">
      <alignment horizontal="centerContinuous"/>
    </xf>
    <xf numFmtId="0" fontId="18" fillId="4" borderId="14" xfId="66" applyNumberFormat="1" applyFont="1" applyFill="1" applyBorder="1" applyAlignment="1">
      <alignment horizontal="centerContinuous"/>
    </xf>
    <xf numFmtId="0" fontId="17" fillId="4" borderId="14" xfId="66" applyNumberFormat="1" applyFont="1" applyFill="1" applyBorder="1" applyAlignment="1">
      <alignment horizontal="centerContinuous"/>
    </xf>
    <xf numFmtId="0" fontId="16" fillId="3" borderId="15" xfId="66" applyNumberFormat="1" applyFill="1" applyBorder="1"/>
    <xf numFmtId="0" fontId="18" fillId="3" borderId="0" xfId="66" applyNumberFormat="1" applyFont="1" applyFill="1" applyAlignment="1">
      <alignment horizontal="centerContinuous"/>
    </xf>
    <xf numFmtId="0" fontId="17" fillId="3" borderId="0" xfId="66" applyNumberFormat="1" applyFont="1" applyFill="1" applyAlignment="1">
      <alignment horizontal="centerContinuous"/>
    </xf>
    <xf numFmtId="0" fontId="17" fillId="3" borderId="0" xfId="66" applyNumberFormat="1" applyFont="1" applyFill="1" applyBorder="1" applyAlignment="1">
      <alignment horizontal="centerContinuous"/>
    </xf>
    <xf numFmtId="0" fontId="17" fillId="4" borderId="8" xfId="66" applyNumberFormat="1" applyFont="1" applyFill="1" applyBorder="1"/>
    <xf numFmtId="0" fontId="17" fillId="4" borderId="9" xfId="66" applyNumberFormat="1" applyFont="1" applyFill="1" applyBorder="1"/>
    <xf numFmtId="0" fontId="20" fillId="4" borderId="11" xfId="66" applyNumberFormat="1" applyFont="1" applyFill="1" applyBorder="1" applyAlignment="1">
      <alignment horizontal="centerContinuous"/>
    </xf>
    <xf numFmtId="0" fontId="17" fillId="4" borderId="11" xfId="66" applyNumberFormat="1" applyFont="1" applyFill="1" applyBorder="1" applyAlignment="1">
      <alignment horizontal="centerContinuous"/>
    </xf>
    <xf numFmtId="0" fontId="17" fillId="3" borderId="11" xfId="66" applyNumberFormat="1" applyFont="1" applyFill="1" applyBorder="1" applyAlignment="1">
      <alignment horizontal="centerContinuous"/>
    </xf>
    <xf numFmtId="0" fontId="17" fillId="3" borderId="13" xfId="66" applyNumberFormat="1" applyFont="1" applyFill="1" applyBorder="1" applyAlignment="1">
      <alignment horizontal="centerContinuous"/>
    </xf>
    <xf numFmtId="0" fontId="17" fillId="3" borderId="14" xfId="66" applyNumberFormat="1" applyFont="1" applyFill="1" applyBorder="1" applyAlignment="1">
      <alignment horizontal="centerContinuous"/>
    </xf>
    <xf numFmtId="0" fontId="17" fillId="4" borderId="0" xfId="66" applyNumberFormat="1" applyFont="1" applyFill="1" applyAlignment="1">
      <alignment horizontal="centerContinuous"/>
    </xf>
    <xf numFmtId="0" fontId="17" fillId="4" borderId="8" xfId="66" applyNumberFormat="1" applyFont="1" applyFill="1" applyBorder="1" applyAlignment="1">
      <alignment horizontal="centerContinuous"/>
    </xf>
    <xf numFmtId="0" fontId="17" fillId="4" borderId="9" xfId="66" applyNumberFormat="1" applyFont="1" applyFill="1" applyBorder="1" applyAlignment="1">
      <alignment horizontal="centerContinuous"/>
    </xf>
    <xf numFmtId="0" fontId="21" fillId="4" borderId="11" xfId="66" applyNumberFormat="1" applyFont="1" applyFill="1" applyBorder="1" applyAlignment="1">
      <alignment horizontal="centerContinuous"/>
    </xf>
    <xf numFmtId="170" fontId="21" fillId="4" borderId="11" xfId="66" applyNumberFormat="1" applyFont="1" applyFill="1" applyBorder="1" applyAlignment="1">
      <alignment horizontal="centerContinuous"/>
    </xf>
    <xf numFmtId="0" fontId="18" fillId="4" borderId="0" xfId="66" applyNumberFormat="1" applyFont="1" applyFill="1" applyAlignment="1">
      <alignment horizontal="centerContinuous"/>
    </xf>
    <xf numFmtId="0" fontId="18" fillId="3" borderId="0" xfId="66" applyNumberFormat="1" applyFont="1" applyFill="1"/>
    <xf numFmtId="38" fontId="5" fillId="0" borderId="0" xfId="3" applyNumberFormat="1" applyFont="1" applyFill="1" applyAlignment="1">
      <alignment horizontal="center"/>
    </xf>
    <xf numFmtId="167" fontId="10" fillId="2" borderId="0" xfId="1" applyNumberFormat="1" applyFont="1" applyFill="1"/>
    <xf numFmtId="167" fontId="15" fillId="0" borderId="0" xfId="1" applyNumberFormat="1" applyFont="1" applyFill="1"/>
    <xf numFmtId="167" fontId="15" fillId="2" borderId="0" xfId="1" applyNumberFormat="1" applyFont="1" applyFill="1" applyAlignment="1">
      <alignment horizontal="center"/>
    </xf>
    <xf numFmtId="167" fontId="15" fillId="0" borderId="0" xfId="1" applyNumberFormat="1" applyFont="1" applyFill="1" applyAlignment="1">
      <alignment horizontal="center"/>
    </xf>
    <xf numFmtId="167" fontId="15" fillId="2" borderId="0" xfId="1" applyNumberFormat="1" applyFont="1" applyFill="1"/>
    <xf numFmtId="167" fontId="15" fillId="0" borderId="0" xfId="1" quotePrefix="1" applyNumberFormat="1" applyFont="1" applyFill="1"/>
    <xf numFmtId="167" fontId="15" fillId="0" borderId="0" xfId="1" applyNumberFormat="1" applyFont="1" applyFill="1" applyAlignment="1">
      <alignment horizontal="center" wrapText="1"/>
    </xf>
    <xf numFmtId="167" fontId="15" fillId="2" borderId="0" xfId="1" applyNumberFormat="1" applyFont="1" applyFill="1" applyAlignment="1">
      <alignment horizontal="center" wrapText="1"/>
    </xf>
    <xf numFmtId="0" fontId="15" fillId="0" borderId="0" xfId="0" applyFont="1"/>
    <xf numFmtId="167" fontId="10" fillId="0" borderId="0" xfId="1" applyNumberFormat="1" applyFont="1"/>
    <xf numFmtId="165" fontId="10" fillId="0" borderId="0" xfId="2" applyNumberFormat="1" applyFont="1" applyFill="1"/>
    <xf numFmtId="165" fontId="10" fillId="2" borderId="0" xfId="2" applyNumberFormat="1" applyFont="1" applyFill="1"/>
    <xf numFmtId="165" fontId="10" fillId="0" borderId="0" xfId="2" applyNumberFormat="1" applyFont="1"/>
    <xf numFmtId="167" fontId="10" fillId="0" borderId="3" xfId="1" applyNumberFormat="1" applyFont="1" applyFill="1" applyBorder="1"/>
    <xf numFmtId="167" fontId="10" fillId="0" borderId="3" xfId="1" applyNumberFormat="1" applyFont="1" applyBorder="1"/>
    <xf numFmtId="165" fontId="10" fillId="0" borderId="4" xfId="2" applyNumberFormat="1" applyFont="1" applyFill="1" applyBorder="1"/>
    <xf numFmtId="10" fontId="23" fillId="0" borderId="0" xfId="57" applyNumberFormat="1" applyFont="1"/>
    <xf numFmtId="0" fontId="23" fillId="0" borderId="0" xfId="0" applyFont="1"/>
    <xf numFmtId="167" fontId="23" fillId="0" borderId="0" xfId="1" applyNumberFormat="1" applyFont="1" applyFill="1"/>
    <xf numFmtId="167" fontId="23" fillId="0" borderId="0" xfId="1" applyNumberFormat="1" applyFont="1"/>
    <xf numFmtId="0" fontId="22" fillId="0" borderId="0" xfId="0" applyFont="1"/>
    <xf numFmtId="0" fontId="22" fillId="0" borderId="0" xfId="0" applyFont="1" applyFill="1"/>
    <xf numFmtId="0" fontId="22" fillId="0" borderId="0" xfId="0" applyFont="1" applyBorder="1"/>
    <xf numFmtId="3" fontId="24" fillId="0" borderId="0" xfId="47" applyNumberFormat="1" applyFont="1" applyFill="1" applyAlignment="1">
      <alignment horizontal="center"/>
    </xf>
    <xf numFmtId="3" fontId="24" fillId="0" borderId="0" xfId="47" applyNumberFormat="1" applyFont="1" applyFill="1" applyBorder="1" applyAlignment="1">
      <alignment horizontal="center"/>
    </xf>
    <xf numFmtId="2" fontId="24" fillId="0" borderId="0" xfId="47" applyNumberFormat="1" applyFont="1" applyFill="1" applyAlignment="1">
      <alignment horizontal="center"/>
    </xf>
    <xf numFmtId="2" fontId="24" fillId="0" borderId="0" xfId="47" applyNumberFormat="1" applyFont="1" applyFill="1" applyBorder="1" applyAlignment="1">
      <alignment horizontal="center"/>
    </xf>
    <xf numFmtId="49" fontId="26" fillId="0" borderId="0" xfId="47" applyNumberFormat="1" applyFont="1" applyFill="1"/>
    <xf numFmtId="0" fontId="24" fillId="0" borderId="0" xfId="47" applyFont="1" applyFill="1" applyAlignment="1">
      <alignment horizontal="center"/>
    </xf>
    <xf numFmtId="0" fontId="24" fillId="0" borderId="0" xfId="47" applyFont="1" applyFill="1" applyBorder="1" applyAlignment="1">
      <alignment horizontal="center"/>
    </xf>
    <xf numFmtId="49" fontId="24" fillId="0" borderId="0" xfId="47" applyNumberFormat="1" applyFont="1" applyFill="1" applyAlignment="1">
      <alignment horizontal="center"/>
    </xf>
    <xf numFmtId="0" fontId="24" fillId="0" borderId="1" xfId="47" applyFont="1" applyFill="1" applyBorder="1" applyAlignment="1">
      <alignment horizontal="center"/>
    </xf>
    <xf numFmtId="2" fontId="24" fillId="0" borderId="1" xfId="47" applyNumberFormat="1" applyFont="1" applyFill="1" applyBorder="1" applyAlignment="1">
      <alignment horizontal="center"/>
    </xf>
    <xf numFmtId="49" fontId="24" fillId="0" borderId="1" xfId="47" applyNumberFormat="1" applyFont="1" applyFill="1" applyBorder="1" applyAlignment="1">
      <alignment horizontal="center"/>
    </xf>
    <xf numFmtId="0" fontId="24" fillId="0" borderId="0" xfId="47" applyFont="1" applyFill="1"/>
    <xf numFmtId="0" fontId="26" fillId="0" borderId="0" xfId="47" applyFont="1" applyFill="1" applyAlignment="1">
      <alignment horizontal="center"/>
    </xf>
    <xf numFmtId="0" fontId="26" fillId="0" borderId="0" xfId="47" applyFont="1" applyFill="1" applyBorder="1" applyAlignment="1">
      <alignment horizontal="center"/>
    </xf>
    <xf numFmtId="2" fontId="26" fillId="0" borderId="0" xfId="47" applyNumberFormat="1" applyFont="1" applyFill="1" applyAlignment="1">
      <alignment horizontal="center"/>
    </xf>
    <xf numFmtId="2" fontId="26" fillId="0" borderId="0" xfId="47" applyNumberFormat="1" applyFont="1" applyFill="1" applyBorder="1" applyAlignment="1">
      <alignment horizontal="center"/>
    </xf>
    <xf numFmtId="49" fontId="26" fillId="0" borderId="0" xfId="47" applyNumberFormat="1" applyFont="1" applyFill="1" applyAlignment="1">
      <alignment horizontal="center"/>
    </xf>
    <xf numFmtId="0" fontId="26" fillId="0" borderId="0" xfId="47" applyFont="1" applyFill="1"/>
    <xf numFmtId="42" fontId="26" fillId="0" borderId="0" xfId="0" applyNumberFormat="1" applyFont="1" applyFill="1" applyAlignment="1">
      <alignment horizontal="right"/>
    </xf>
    <xf numFmtId="42" fontId="26" fillId="0" borderId="0" xfId="47" applyNumberFormat="1" applyFont="1" applyFill="1" applyAlignment="1">
      <alignment horizontal="right"/>
    </xf>
    <xf numFmtId="164" fontId="26" fillId="0" borderId="0" xfId="47" applyNumberFormat="1" applyFont="1" applyFill="1" applyBorder="1" applyAlignment="1">
      <alignment horizontal="right"/>
    </xf>
    <xf numFmtId="166" fontId="26" fillId="0" borderId="0" xfId="47" applyNumberFormat="1" applyFont="1" applyFill="1" applyAlignment="1">
      <alignment horizontal="right"/>
    </xf>
    <xf numFmtId="166" fontId="26" fillId="0" borderId="0" xfId="47" applyNumberFormat="1" applyFont="1" applyFill="1" applyBorder="1" applyAlignment="1">
      <alignment horizontal="right"/>
    </xf>
    <xf numFmtId="10" fontId="26" fillId="0" borderId="0" xfId="47" applyNumberFormat="1" applyFont="1" applyFill="1" applyAlignment="1">
      <alignment horizontal="right"/>
    </xf>
    <xf numFmtId="41" fontId="26" fillId="0" borderId="0" xfId="0" applyNumberFormat="1" applyFont="1" applyFill="1" applyAlignment="1">
      <alignment horizontal="right"/>
    </xf>
    <xf numFmtId="41" fontId="26" fillId="0" borderId="0" xfId="47" applyNumberFormat="1" applyFont="1" applyFill="1" applyAlignment="1">
      <alignment horizontal="right"/>
    </xf>
    <xf numFmtId="10" fontId="26" fillId="0" borderId="0" xfId="57" applyNumberFormat="1" applyFont="1" applyFill="1" applyBorder="1" applyAlignment="1">
      <alignment horizontal="right"/>
    </xf>
    <xf numFmtId="41" fontId="26" fillId="0" borderId="0" xfId="1" applyNumberFormat="1" applyFont="1" applyFill="1" applyAlignment="1">
      <alignment horizontal="right"/>
    </xf>
    <xf numFmtId="41" fontId="26" fillId="0" borderId="3" xfId="47" applyNumberFormat="1" applyFont="1" applyFill="1" applyBorder="1" applyAlignment="1">
      <alignment horizontal="right"/>
    </xf>
    <xf numFmtId="41" fontId="26" fillId="0" borderId="0" xfId="47" applyNumberFormat="1" applyFont="1" applyFill="1" applyBorder="1" applyAlignment="1">
      <alignment horizontal="right"/>
    </xf>
    <xf numFmtId="166" fontId="26" fillId="0" borderId="3" xfId="47" applyNumberFormat="1" applyFont="1" applyFill="1" applyBorder="1" applyAlignment="1">
      <alignment horizontal="right"/>
    </xf>
    <xf numFmtId="10" fontId="26" fillId="0" borderId="3" xfId="47" applyNumberFormat="1" applyFont="1" applyFill="1" applyBorder="1" applyAlignment="1">
      <alignment horizontal="right"/>
    </xf>
    <xf numFmtId="10" fontId="26" fillId="0" borderId="0" xfId="47" applyNumberFormat="1" applyFont="1" applyFill="1" applyBorder="1" applyAlignment="1">
      <alignment horizontal="right"/>
    </xf>
    <xf numFmtId="41" fontId="26" fillId="0" borderId="0" xfId="47" applyNumberFormat="1" applyFont="1" applyFill="1" applyAlignment="1">
      <alignment horizontal="center"/>
    </xf>
    <xf numFmtId="0" fontId="24" fillId="0" borderId="0" xfId="47" applyFont="1" applyFill="1" applyBorder="1"/>
    <xf numFmtId="0" fontId="26" fillId="0" borderId="0" xfId="47" applyFont="1" applyFill="1" applyBorder="1"/>
    <xf numFmtId="41" fontId="26" fillId="0" borderId="0" xfId="47" applyNumberFormat="1" applyFont="1" applyFill="1"/>
    <xf numFmtId="3" fontId="26" fillId="0" borderId="0" xfId="47" applyNumberFormat="1" applyFont="1" applyFill="1" applyBorder="1"/>
    <xf numFmtId="41" fontId="26" fillId="0" borderId="3" xfId="47" applyNumberFormat="1" applyFont="1" applyFill="1" applyBorder="1"/>
    <xf numFmtId="41" fontId="26" fillId="0" borderId="0" xfId="47" applyNumberFormat="1" applyFont="1" applyFill="1" applyBorder="1"/>
    <xf numFmtId="166" fontId="26" fillId="0" borderId="0" xfId="47" applyNumberFormat="1" applyFont="1" applyFill="1" applyAlignment="1">
      <alignment horizontal="center"/>
    </xf>
    <xf numFmtId="166" fontId="26" fillId="0" borderId="0" xfId="47" applyNumberFormat="1" applyFont="1" applyFill="1" applyBorder="1" applyAlignment="1">
      <alignment horizontal="center"/>
    </xf>
    <xf numFmtId="10" fontId="26" fillId="0" borderId="0" xfId="47" applyNumberFormat="1" applyFont="1" applyFill="1" applyAlignment="1">
      <alignment horizontal="center"/>
    </xf>
    <xf numFmtId="3" fontId="26" fillId="0" borderId="0" xfId="47" applyNumberFormat="1" applyFont="1" applyFill="1" applyBorder="1" applyAlignment="1">
      <alignment horizontal="right"/>
    </xf>
    <xf numFmtId="3" fontId="24" fillId="0" borderId="1" xfId="47" applyNumberFormat="1" applyFont="1" applyFill="1" applyBorder="1" applyAlignment="1">
      <alignment horizontal="center"/>
    </xf>
    <xf numFmtId="41" fontId="26" fillId="0" borderId="0" xfId="47" applyNumberFormat="1" applyFont="1" applyFill="1" applyBorder="1" applyAlignment="1">
      <alignment horizontal="center"/>
    </xf>
    <xf numFmtId="166" fontId="26" fillId="0" borderId="0" xfId="47" applyNumberFormat="1" applyFont="1" applyFill="1"/>
    <xf numFmtId="166" fontId="26" fillId="0" borderId="0" xfId="47" applyNumberFormat="1" applyFont="1" applyFill="1" applyBorder="1"/>
    <xf numFmtId="10" fontId="26" fillId="0" borderId="0" xfId="47" applyNumberFormat="1" applyFont="1" applyFill="1"/>
    <xf numFmtId="0" fontId="3" fillId="0" borderId="0" xfId="47" applyFont="1" applyBorder="1"/>
    <xf numFmtId="10" fontId="24" fillId="0" borderId="0" xfId="47" applyNumberFormat="1" applyFont="1" applyFill="1" applyBorder="1" applyAlignment="1">
      <alignment horizontal="center"/>
    </xf>
    <xf numFmtId="0" fontId="26" fillId="0" borderId="0" xfId="47" applyFont="1" applyFill="1" applyBorder="1" applyAlignment="1">
      <alignment horizontal="right"/>
    </xf>
    <xf numFmtId="42" fontId="26" fillId="0" borderId="2" xfId="2" applyNumberFormat="1" applyFont="1" applyFill="1" applyBorder="1" applyAlignment="1">
      <alignment horizontal="right"/>
    </xf>
    <xf numFmtId="42" fontId="26" fillId="0" borderId="0" xfId="47" applyNumberFormat="1" applyFont="1" applyFill="1" applyBorder="1" applyAlignment="1">
      <alignment horizontal="right"/>
    </xf>
    <xf numFmtId="166" fontId="26" fillId="0" borderId="2" xfId="47" applyNumberFormat="1" applyFont="1" applyFill="1" applyBorder="1" applyAlignment="1">
      <alignment horizontal="right"/>
    </xf>
    <xf numFmtId="10" fontId="26" fillId="0" borderId="2" xfId="47" applyNumberFormat="1" applyFont="1" applyFill="1" applyBorder="1" applyAlignment="1">
      <alignment horizontal="right"/>
    </xf>
    <xf numFmtId="0" fontId="3" fillId="0" borderId="0" xfId="47" applyFont="1" applyFill="1" applyBorder="1"/>
    <xf numFmtId="0" fontId="14" fillId="0" borderId="0" xfId="0" applyFont="1" applyFill="1"/>
    <xf numFmtId="0" fontId="14" fillId="0" borderId="0" xfId="0" applyFont="1" applyBorder="1"/>
    <xf numFmtId="0" fontId="26" fillId="0" borderId="0" xfId="47" applyFont="1"/>
    <xf numFmtId="0" fontId="26" fillId="0" borderId="0" xfId="47" applyFont="1" applyBorder="1"/>
    <xf numFmtId="0" fontId="24" fillId="0" borderId="0" xfId="51" applyFont="1" applyAlignment="1">
      <alignment horizontal="centerContinuous"/>
    </xf>
    <xf numFmtId="0" fontId="26" fillId="0" borderId="0" xfId="51" applyFont="1" applyBorder="1" applyAlignment="1">
      <alignment horizontal="centerContinuous"/>
    </xf>
    <xf numFmtId="10" fontId="26" fillId="0" borderId="0" xfId="51" applyNumberFormat="1" applyFont="1" applyAlignment="1">
      <alignment horizontal="centerContinuous"/>
    </xf>
    <xf numFmtId="10" fontId="26" fillId="0" borderId="0" xfId="51" applyNumberFormat="1" applyFont="1" applyFill="1" applyBorder="1" applyAlignment="1">
      <alignment horizontal="centerContinuous"/>
    </xf>
    <xf numFmtId="0" fontId="26" fillId="0" borderId="0" xfId="51" applyFont="1" applyAlignment="1">
      <alignment horizontal="centerContinuous"/>
    </xf>
    <xf numFmtId="0" fontId="26" fillId="0" borderId="0" xfId="51" applyFont="1"/>
    <xf numFmtId="6" fontId="26" fillId="0" borderId="0" xfId="51" applyNumberFormat="1" applyFont="1" applyFill="1"/>
    <xf numFmtId="6" fontId="26" fillId="0" borderId="0" xfId="51" applyNumberFormat="1" applyFont="1" applyFill="1" applyBorder="1"/>
    <xf numFmtId="0" fontId="24" fillId="0" borderId="0" xfId="51" applyFont="1" applyFill="1" applyBorder="1" applyAlignment="1">
      <alignment horizontal="center"/>
    </xf>
    <xf numFmtId="0" fontId="26" fillId="0" borderId="0" xfId="51" applyFont="1" applyBorder="1"/>
    <xf numFmtId="10" fontId="26" fillId="0" borderId="0" xfId="51" applyNumberFormat="1" applyFont="1"/>
    <xf numFmtId="10" fontId="26" fillId="0" borderId="0" xfId="51" applyNumberFormat="1" applyFont="1" applyFill="1" applyBorder="1"/>
    <xf numFmtId="0" fontId="26" fillId="0" borderId="0" xfId="51" applyFont="1" applyFill="1"/>
    <xf numFmtId="0" fontId="26" fillId="0" borderId="0" xfId="51" applyFont="1" applyFill="1" applyBorder="1"/>
    <xf numFmtId="165" fontId="26" fillId="0" borderId="0" xfId="2" applyNumberFormat="1" applyFont="1" applyFill="1" applyAlignment="1">
      <alignment horizontal="right"/>
    </xf>
    <xf numFmtId="6" fontId="26" fillId="0" borderId="0" xfId="51" applyNumberFormat="1" applyFont="1" applyFill="1" applyBorder="1" applyAlignment="1">
      <alignment horizontal="right"/>
    </xf>
    <xf numFmtId="165" fontId="26" fillId="0" borderId="0" xfId="2" applyNumberFormat="1" applyFont="1" applyFill="1" applyBorder="1" applyAlignment="1">
      <alignment horizontal="right"/>
    </xf>
    <xf numFmtId="3" fontId="26" fillId="0" borderId="0" xfId="51" applyNumberFormat="1" applyFont="1" applyBorder="1" applyAlignment="1">
      <alignment horizontal="right"/>
    </xf>
    <xf numFmtId="166" fontId="26" fillId="0" borderId="0" xfId="51" applyNumberFormat="1" applyFont="1" applyAlignment="1">
      <alignment horizontal="right"/>
    </xf>
    <xf numFmtId="10" fontId="26" fillId="0" borderId="0" xfId="51" applyNumberFormat="1" applyFont="1" applyFill="1" applyBorder="1" applyAlignment="1">
      <alignment horizontal="right"/>
    </xf>
    <xf numFmtId="10" fontId="26" fillId="0" borderId="0" xfId="51" applyNumberFormat="1" applyFont="1" applyAlignment="1">
      <alignment horizontal="right"/>
    </xf>
    <xf numFmtId="41" fontId="26" fillId="0" borderId="0" xfId="51" applyNumberFormat="1" applyFont="1" applyFill="1" applyAlignment="1">
      <alignment horizontal="right"/>
    </xf>
    <xf numFmtId="41" fontId="26" fillId="0" borderId="0" xfId="51" applyNumberFormat="1" applyFont="1" applyFill="1" applyBorder="1" applyAlignment="1">
      <alignment horizontal="right"/>
    </xf>
    <xf numFmtId="10" fontId="26" fillId="0" borderId="0" xfId="57" applyNumberFormat="1" applyFont="1" applyBorder="1" applyAlignment="1">
      <alignment horizontal="right"/>
    </xf>
    <xf numFmtId="0" fontId="26" fillId="0" borderId="0" xfId="51" applyFont="1" applyAlignment="1">
      <alignment wrapText="1"/>
    </xf>
    <xf numFmtId="41" fontId="26" fillId="0" borderId="1" xfId="51" applyNumberFormat="1" applyFont="1" applyFill="1" applyBorder="1" applyAlignment="1">
      <alignment horizontal="right"/>
    </xf>
    <xf numFmtId="166" fontId="26" fillId="0" borderId="1" xfId="51" applyNumberFormat="1" applyFont="1" applyBorder="1" applyAlignment="1">
      <alignment horizontal="right"/>
    </xf>
    <xf numFmtId="10" fontId="26" fillId="0" borderId="1" xfId="51" applyNumberFormat="1" applyFont="1" applyBorder="1" applyAlignment="1">
      <alignment horizontal="right"/>
    </xf>
    <xf numFmtId="166" fontId="26" fillId="0" borderId="0" xfId="51" applyNumberFormat="1" applyFont="1" applyBorder="1" applyAlignment="1">
      <alignment horizontal="right"/>
    </xf>
    <xf numFmtId="10" fontId="26" fillId="0" borderId="0" xfId="51" applyNumberFormat="1" applyFont="1" applyBorder="1" applyAlignment="1">
      <alignment horizontal="right"/>
    </xf>
    <xf numFmtId="0" fontId="24" fillId="0" borderId="0" xfId="51" applyFont="1" applyAlignment="1">
      <alignment horizontal="center"/>
    </xf>
    <xf numFmtId="165" fontId="26" fillId="0" borderId="2" xfId="2" applyNumberFormat="1" applyFont="1" applyFill="1" applyBorder="1" applyAlignment="1">
      <alignment horizontal="right"/>
    </xf>
    <xf numFmtId="166" fontId="26" fillId="0" borderId="2" xfId="51" applyNumberFormat="1" applyFont="1" applyBorder="1" applyAlignment="1">
      <alignment horizontal="right"/>
    </xf>
    <xf numFmtId="10" fontId="26" fillId="0" borderId="2" xfId="51" applyNumberFormat="1" applyFont="1" applyBorder="1" applyAlignment="1">
      <alignment horizontal="right"/>
    </xf>
    <xf numFmtId="0" fontId="22" fillId="0" borderId="0" xfId="0" applyFont="1" applyFill="1" applyBorder="1"/>
    <xf numFmtId="0" fontId="25" fillId="0" borderId="0" xfId="51" applyFont="1" applyAlignment="1">
      <alignment horizontal="centerContinuous"/>
    </xf>
    <xf numFmtId="0" fontId="25" fillId="0" borderId="0" xfId="51" applyFont="1"/>
    <xf numFmtId="41" fontId="22" fillId="0" borderId="0" xfId="0" applyNumberFormat="1" applyFont="1" applyFill="1"/>
    <xf numFmtId="10" fontId="22" fillId="0" borderId="0" xfId="57" applyNumberFormat="1" applyFont="1" applyBorder="1"/>
    <xf numFmtId="6" fontId="5" fillId="0" borderId="0" xfId="51" applyNumberFormat="1" applyFont="1" applyFill="1" applyAlignment="1">
      <alignment horizontal="centerContinuous"/>
    </xf>
    <xf numFmtId="6" fontId="5" fillId="0" borderId="0" xfId="51" applyNumberFormat="1" applyFont="1" applyFill="1" applyBorder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Fill="1" applyBorder="1" applyAlignment="1">
      <alignment horizontal="centerContinuous"/>
    </xf>
    <xf numFmtId="6" fontId="3" fillId="0" borderId="0" xfId="51" applyNumberFormat="1" applyFont="1" applyFill="1" applyAlignment="1">
      <alignment horizontal="centerContinuous"/>
    </xf>
    <xf numFmtId="6" fontId="3" fillId="0" borderId="0" xfId="51" applyNumberFormat="1" applyFont="1" applyFill="1" applyBorder="1" applyAlignment="1">
      <alignment horizontal="centerContinuous"/>
    </xf>
    <xf numFmtId="0" fontId="3" fillId="0" borderId="0" xfId="51" applyFont="1" applyFill="1" applyAlignment="1">
      <alignment horizontal="centerContinuous"/>
    </xf>
    <xf numFmtId="0" fontId="3" fillId="0" borderId="0" xfId="51" applyFont="1" applyFill="1" applyBorder="1" applyAlignment="1">
      <alignment horizontal="centerContinuous"/>
    </xf>
    <xf numFmtId="0" fontId="10" fillId="0" borderId="0" xfId="0" applyFont="1" applyAlignment="1">
      <alignment horizontal="left"/>
    </xf>
    <xf numFmtId="10" fontId="10" fillId="0" borderId="0" xfId="57" applyNumberFormat="1" applyFont="1"/>
    <xf numFmtId="6" fontId="24" fillId="0" borderId="0" xfId="3" applyNumberFormat="1" applyFont="1" applyFill="1" applyAlignment="1">
      <alignment horizontal="center" vertical="top"/>
    </xf>
    <xf numFmtId="167" fontId="3" fillId="0" borderId="3" xfId="3" applyNumberFormat="1" applyFont="1" applyFill="1" applyBorder="1"/>
    <xf numFmtId="167" fontId="3" fillId="0" borderId="0" xfId="3" applyNumberFormat="1" applyFont="1" applyFill="1" applyBorder="1"/>
    <xf numFmtId="167" fontId="3" fillId="0" borderId="0" xfId="3" applyNumberFormat="1" applyFont="1" applyFill="1"/>
    <xf numFmtId="167" fontId="26" fillId="0" borderId="0" xfId="47" applyNumberFormat="1" applyFont="1" applyFill="1" applyAlignment="1">
      <alignment horizontal="right"/>
    </xf>
    <xf numFmtId="167" fontId="26" fillId="0" borderId="3" xfId="47" applyNumberFormat="1" applyFont="1" applyFill="1" applyBorder="1" applyAlignment="1">
      <alignment horizontal="right"/>
    </xf>
    <xf numFmtId="167" fontId="26" fillId="0" borderId="0" xfId="47" applyNumberFormat="1" applyFont="1" applyFill="1" applyBorder="1" applyAlignment="1">
      <alignment horizontal="right"/>
    </xf>
    <xf numFmtId="167" fontId="26" fillId="0" borderId="0" xfId="51" applyNumberFormat="1" applyFont="1" applyFill="1" applyAlignment="1">
      <alignment horizontal="right"/>
    </xf>
    <xf numFmtId="171" fontId="6" fillId="0" borderId="0" xfId="3" applyNumberFormat="1" applyFont="1" applyFill="1" applyBorder="1" applyAlignment="1"/>
    <xf numFmtId="169" fontId="6" fillId="0" borderId="0" xfId="3" applyNumberFormat="1" applyFont="1" applyFill="1" applyBorder="1" applyAlignment="1"/>
    <xf numFmtId="37" fontId="3" fillId="0" borderId="0" xfId="3" applyNumberFormat="1" applyFont="1" applyFill="1"/>
    <xf numFmtId="37" fontId="3" fillId="0" borderId="0" xfId="15" applyNumberFormat="1" applyFont="1" applyFill="1" applyAlignment="1">
      <alignment horizontal="right"/>
    </xf>
    <xf numFmtId="37" fontId="3" fillId="0" borderId="4" xfId="2" applyNumberFormat="1" applyFont="1" applyFill="1" applyBorder="1"/>
    <xf numFmtId="37" fontId="3" fillId="0" borderId="3" xfId="3" applyNumberFormat="1" applyFont="1" applyFill="1" applyBorder="1"/>
    <xf numFmtId="0" fontId="10" fillId="0" borderId="0" xfId="0" applyFont="1" applyBorder="1"/>
    <xf numFmtId="0" fontId="15" fillId="0" borderId="0" xfId="0" applyFont="1" applyBorder="1"/>
    <xf numFmtId="0" fontId="10" fillId="0" borderId="0" xfId="0" applyFont="1" applyFill="1" applyBorder="1"/>
    <xf numFmtId="37" fontId="10" fillId="0" borderId="0" xfId="0" applyNumberFormat="1" applyFont="1" applyFill="1" applyBorder="1"/>
    <xf numFmtId="42" fontId="15" fillId="0" borderId="0" xfId="0" applyNumberFormat="1" applyFont="1" applyFill="1" applyBorder="1"/>
    <xf numFmtId="0" fontId="6" fillId="0" borderId="0" xfId="3" applyFont="1" applyFill="1" applyBorder="1" applyAlignment="1">
      <alignment horizontal="center"/>
    </xf>
    <xf numFmtId="0" fontId="24" fillId="0" borderId="0" xfId="47" applyFont="1" applyFill="1" applyAlignment="1">
      <alignment horizontal="center"/>
    </xf>
    <xf numFmtId="0" fontId="6" fillId="0" borderId="0" xfId="3" applyFont="1" applyFill="1" applyBorder="1" applyAlignment="1">
      <alignment horizontal="center"/>
    </xf>
    <xf numFmtId="167" fontId="28" fillId="0" borderId="0" xfId="1" applyNumberFormat="1" applyFont="1" applyFill="1"/>
    <xf numFmtId="0" fontId="28" fillId="0" borderId="0" xfId="0" applyFont="1" applyFill="1"/>
    <xf numFmtId="167" fontId="28" fillId="0" borderId="0" xfId="1" applyNumberFormat="1" applyFont="1"/>
    <xf numFmtId="0" fontId="28" fillId="0" borderId="0" xfId="0" applyFont="1"/>
    <xf numFmtId="42" fontId="26" fillId="5" borderId="2" xfId="2" applyNumberFormat="1" applyFont="1" applyFill="1" applyBorder="1" applyAlignment="1">
      <alignment horizontal="right"/>
    </xf>
    <xf numFmtId="167" fontId="3" fillId="5" borderId="3" xfId="1" applyNumberFormat="1" applyFont="1" applyFill="1" applyBorder="1"/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7" fontId="9" fillId="0" borderId="4" xfId="1" applyNumberFormat="1" applyFont="1" applyBorder="1"/>
    <xf numFmtId="172" fontId="0" fillId="0" borderId="0" xfId="0" applyNumberFormat="1" applyBorder="1" applyAlignment="1">
      <alignment horizontal="center"/>
    </xf>
    <xf numFmtId="167" fontId="9" fillId="0" borderId="0" xfId="1" applyNumberFormat="1" applyFont="1" applyBorder="1"/>
    <xf numFmtId="167" fontId="3" fillId="6" borderId="3" xfId="1" applyNumberFormat="1" applyFont="1" applyFill="1" applyBorder="1"/>
    <xf numFmtId="172" fontId="0" fillId="5" borderId="0" xfId="0" applyNumberFormat="1" applyFill="1" applyAlignment="1">
      <alignment horizontal="center"/>
    </xf>
    <xf numFmtId="167" fontId="9" fillId="5" borderId="4" xfId="1" applyNumberFormat="1" applyFont="1" applyFill="1" applyBorder="1"/>
    <xf numFmtId="0" fontId="0" fillId="0" borderId="0" xfId="0" applyFill="1" applyAlignment="1">
      <alignment horizontal="center"/>
    </xf>
    <xf numFmtId="41" fontId="0" fillId="0" borderId="0" xfId="0" applyNumberFormat="1" applyFill="1"/>
    <xf numFmtId="172" fontId="0" fillId="0" borderId="0" xfId="0" applyNumberFormat="1" applyFill="1" applyAlignment="1">
      <alignment horizontal="center"/>
    </xf>
    <xf numFmtId="167" fontId="0" fillId="0" borderId="0" xfId="1" applyNumberFormat="1" applyFont="1" applyFill="1"/>
    <xf numFmtId="167" fontId="0" fillId="5" borderId="4" xfId="1" applyNumberFormat="1" applyFont="1" applyFill="1" applyBorder="1"/>
    <xf numFmtId="167" fontId="9" fillId="6" borderId="4" xfId="1" applyNumberFormat="1" applyFont="1" applyFill="1" applyBorder="1"/>
    <xf numFmtId="9" fontId="0" fillId="6" borderId="0" xfId="0" applyNumberFormat="1" applyFill="1" applyAlignment="1">
      <alignment horizontal="center"/>
    </xf>
    <xf numFmtId="167" fontId="9" fillId="0" borderId="4" xfId="1" applyNumberFormat="1" applyFont="1" applyFill="1" applyBorder="1"/>
    <xf numFmtId="0" fontId="2" fillId="2" borderId="0" xfId="0" applyFont="1" applyFill="1"/>
    <xf numFmtId="0" fontId="0" fillId="2" borderId="0" xfId="0" applyFill="1"/>
    <xf numFmtId="172" fontId="4" fillId="0" borderId="0" xfId="57" applyNumberFormat="1" applyFont="1" applyFill="1"/>
    <xf numFmtId="165" fontId="22" fillId="0" borderId="0" xfId="0" applyNumberFormat="1" applyFont="1" applyFill="1"/>
    <xf numFmtId="167" fontId="22" fillId="0" borderId="0" xfId="1" applyNumberFormat="1" applyFont="1" applyFill="1"/>
    <xf numFmtId="0" fontId="14" fillId="0" borderId="0" xfId="0" applyFont="1" applyFill="1" applyBorder="1"/>
    <xf numFmtId="0" fontId="0" fillId="0" borderId="0" xfId="0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167" fontId="0" fillId="0" borderId="0" xfId="0" applyNumberFormat="1" applyFill="1"/>
    <xf numFmtId="167" fontId="9" fillId="0" borderId="0" xfId="0" applyNumberFormat="1" applyFont="1"/>
    <xf numFmtId="6" fontId="3" fillId="0" borderId="0" xfId="3" applyNumberFormat="1"/>
    <xf numFmtId="38" fontId="3" fillId="0" borderId="0" xfId="3" applyNumberFormat="1"/>
    <xf numFmtId="41" fontId="3" fillId="0" borderId="1" xfId="3" applyNumberFormat="1" applyBorder="1"/>
    <xf numFmtId="41" fontId="3" fillId="0" borderId="0" xfId="3" applyNumberFormat="1"/>
    <xf numFmtId="167" fontId="3" fillId="0" borderId="0" xfId="3" applyNumberFormat="1"/>
    <xf numFmtId="41" fontId="3" fillId="0" borderId="3" xfId="3" applyNumberFormat="1" applyBorder="1"/>
    <xf numFmtId="167" fontId="3" fillId="0" borderId="3" xfId="3" applyNumberFormat="1" applyBorder="1"/>
    <xf numFmtId="42" fontId="3" fillId="0" borderId="2" xfId="3" applyNumberFormat="1" applyBorder="1" applyAlignment="1">
      <alignment horizontal="right"/>
    </xf>
    <xf numFmtId="42" fontId="3" fillId="0" borderId="0" xfId="3" applyNumberFormat="1" applyAlignment="1">
      <alignment horizontal="right"/>
    </xf>
    <xf numFmtId="42" fontId="3" fillId="0" borderId="0" xfId="3" applyNumberFormat="1"/>
    <xf numFmtId="41" fontId="3" fillId="0" borderId="0" xfId="1" applyNumberFormat="1" applyFont="1" applyFill="1"/>
    <xf numFmtId="41" fontId="3" fillId="0" borderId="3" xfId="1" applyNumberFormat="1" applyFont="1" applyFill="1" applyBorder="1"/>
    <xf numFmtId="41" fontId="3" fillId="0" borderId="0" xfId="58" applyNumberFormat="1" applyFont="1" applyFill="1"/>
    <xf numFmtId="41" fontId="3" fillId="0" borderId="3" xfId="58" applyNumberFormat="1" applyFont="1" applyFill="1" applyBorder="1"/>
    <xf numFmtId="41" fontId="3" fillId="0" borderId="0" xfId="1" applyNumberFormat="1" applyFont="1" applyFill="1" applyBorder="1"/>
    <xf numFmtId="0" fontId="24" fillId="0" borderId="0" xfId="47" applyFont="1" applyFill="1" applyAlignment="1">
      <alignment horizontal="center"/>
    </xf>
    <xf numFmtId="41" fontId="10" fillId="0" borderId="0" xfId="1" applyNumberFormat="1" applyFont="1" applyFill="1"/>
    <xf numFmtId="41" fontId="10" fillId="0" borderId="3" xfId="1" applyNumberFormat="1" applyFont="1" applyFill="1" applyBorder="1"/>
    <xf numFmtId="41" fontId="26" fillId="0" borderId="0" xfId="65" applyNumberFormat="1" applyFont="1" applyAlignment="1">
      <alignment horizontal="right"/>
    </xf>
    <xf numFmtId="41" fontId="26" fillId="0" borderId="1" xfId="65" applyNumberFormat="1" applyFont="1" applyBorder="1" applyAlignment="1">
      <alignment horizontal="right"/>
    </xf>
    <xf numFmtId="0" fontId="17" fillId="0" borderId="0" xfId="66" applyNumberFormat="1" applyFont="1" applyFill="1" applyBorder="1" applyAlignment="1">
      <alignment horizontal="centerContinuous"/>
    </xf>
    <xf numFmtId="0" fontId="5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7" fontId="9" fillId="0" borderId="0" xfId="1" applyNumberFormat="1" applyFont="1" applyAlignment="1"/>
    <xf numFmtId="167" fontId="15" fillId="0" borderId="0" xfId="1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25" fillId="0" borderId="0" xfId="47" applyFont="1" applyFill="1" applyAlignment="1">
      <alignment horizontal="center"/>
    </xf>
    <xf numFmtId="0" fontId="5" fillId="0" borderId="0" xfId="47" applyFont="1" applyFill="1" applyAlignment="1">
      <alignment horizontal="center"/>
    </xf>
    <xf numFmtId="0" fontId="27" fillId="0" borderId="0" xfId="47" applyFont="1" applyFill="1" applyAlignment="1">
      <alignment horizontal="center"/>
    </xf>
    <xf numFmtId="0" fontId="24" fillId="0" borderId="0" xfId="47" applyFont="1" applyFill="1" applyAlignment="1">
      <alignment horizontal="center"/>
    </xf>
    <xf numFmtId="0" fontId="6" fillId="0" borderId="0" xfId="3" applyFont="1" applyFill="1" applyBorder="1" applyAlignment="1">
      <alignment horizontal="right"/>
    </xf>
  </cellXfs>
  <cellStyles count="67">
    <cellStyle name="Comma" xfId="1" builtinId="3"/>
    <cellStyle name="Comma 2" xfId="4" xr:uid="{00000000-0005-0000-0000-000001000000}"/>
    <cellStyle name="Comma 2 2" xfId="58" xr:uid="{00000000-0005-0000-0000-000002000000}"/>
    <cellStyle name="Comma 3" xfId="48" xr:uid="{00000000-0005-0000-0000-000003000000}"/>
    <cellStyle name="Comma 3 2" xfId="64" xr:uid="{00000000-0005-0000-0000-000004000000}"/>
    <cellStyle name="Currency" xfId="2" builtinId="4"/>
    <cellStyle name="Normal" xfId="0" builtinId="0"/>
    <cellStyle name="Normal 10" xfId="51" xr:uid="{00000000-0005-0000-0000-000007000000}"/>
    <cellStyle name="Normal 10 2" xfId="65" xr:uid="{00000000-0005-0000-0000-000008000000}"/>
    <cellStyle name="Normal 2" xfId="3" xr:uid="{00000000-0005-0000-0000-000009000000}"/>
    <cellStyle name="Normal 2 10" xfId="66" xr:uid="{00000000-0005-0000-0000-00000A000000}"/>
    <cellStyle name="Normal 2 2" xfId="5" xr:uid="{00000000-0005-0000-0000-00000B000000}"/>
    <cellStyle name="Normal 2 2 2" xfId="11" xr:uid="{00000000-0005-0000-0000-00000C000000}"/>
    <cellStyle name="Normal 2 2 2 2" xfId="27" xr:uid="{00000000-0005-0000-0000-00000D000000}"/>
    <cellStyle name="Normal 2 2 2 3" xfId="37" xr:uid="{00000000-0005-0000-0000-00000E000000}"/>
    <cellStyle name="Normal 2 2 3" xfId="13" xr:uid="{00000000-0005-0000-0000-00000F000000}"/>
    <cellStyle name="Normal 2 2 3 2" xfId="30" xr:uid="{00000000-0005-0000-0000-000010000000}"/>
    <cellStyle name="Normal 2 2 3 3" xfId="40" xr:uid="{00000000-0005-0000-0000-000011000000}"/>
    <cellStyle name="Normal 2 2 4" xfId="17" xr:uid="{00000000-0005-0000-0000-000012000000}"/>
    <cellStyle name="Normal 2 2 4 2" xfId="33" xr:uid="{00000000-0005-0000-0000-000013000000}"/>
    <cellStyle name="Normal 2 2 4 3" xfId="43" xr:uid="{00000000-0005-0000-0000-000014000000}"/>
    <cellStyle name="Normal 2 2 5" xfId="24" xr:uid="{00000000-0005-0000-0000-000015000000}"/>
    <cellStyle name="Normal 2 2 6" xfId="21" xr:uid="{00000000-0005-0000-0000-000016000000}"/>
    <cellStyle name="Normal 2 3" xfId="10" xr:uid="{00000000-0005-0000-0000-000017000000}"/>
    <cellStyle name="Normal 2 3 2" xfId="26" xr:uid="{00000000-0005-0000-0000-000018000000}"/>
    <cellStyle name="Normal 2 3 3" xfId="36" xr:uid="{00000000-0005-0000-0000-000019000000}"/>
    <cellStyle name="Normal 2 4" xfId="12" xr:uid="{00000000-0005-0000-0000-00001A000000}"/>
    <cellStyle name="Normal 2 4 2" xfId="29" xr:uid="{00000000-0005-0000-0000-00001B000000}"/>
    <cellStyle name="Normal 2 4 3" xfId="39" xr:uid="{00000000-0005-0000-0000-00001C000000}"/>
    <cellStyle name="Normal 2 5" xfId="16" xr:uid="{00000000-0005-0000-0000-00001D000000}"/>
    <cellStyle name="Normal 2 5 2" xfId="32" xr:uid="{00000000-0005-0000-0000-00001E000000}"/>
    <cellStyle name="Normal 2 5 3" xfId="42" xr:uid="{00000000-0005-0000-0000-00001F000000}"/>
    <cellStyle name="Normal 2 6" xfId="23" xr:uid="{00000000-0005-0000-0000-000020000000}"/>
    <cellStyle name="Normal 2 7" xfId="22" xr:uid="{00000000-0005-0000-0000-000021000000}"/>
    <cellStyle name="Normal 2 8" xfId="49" xr:uid="{00000000-0005-0000-0000-000022000000}"/>
    <cellStyle name="Normal 2 9" xfId="52" xr:uid="{00000000-0005-0000-0000-000023000000}"/>
    <cellStyle name="Normal 3" xfId="7" xr:uid="{00000000-0005-0000-0000-000024000000}"/>
    <cellStyle name="Normal 3 2" xfId="59" xr:uid="{00000000-0005-0000-0000-000025000000}"/>
    <cellStyle name="Normal 4" xfId="8" xr:uid="{00000000-0005-0000-0000-000026000000}"/>
    <cellStyle name="Normal 4 2" xfId="55" xr:uid="{00000000-0005-0000-0000-000027000000}"/>
    <cellStyle name="Normal 5" xfId="9" xr:uid="{00000000-0005-0000-0000-000028000000}"/>
    <cellStyle name="Normal 5 2" xfId="54" xr:uid="{00000000-0005-0000-0000-000029000000}"/>
    <cellStyle name="Normal 6" xfId="15" xr:uid="{00000000-0005-0000-0000-00002A000000}"/>
    <cellStyle name="Normal 6 2" xfId="56" xr:uid="{00000000-0005-0000-0000-00002B000000}"/>
    <cellStyle name="Normal 7" xfId="19" xr:uid="{00000000-0005-0000-0000-00002C000000}"/>
    <cellStyle name="Normal 7 2" xfId="35" xr:uid="{00000000-0005-0000-0000-00002D000000}"/>
    <cellStyle name="Normal 7 2 2" xfId="61" xr:uid="{00000000-0005-0000-0000-00002E000000}"/>
    <cellStyle name="Normal 7 3" xfId="45" xr:uid="{00000000-0005-0000-0000-00002F000000}"/>
    <cellStyle name="Normal 7 3 2" xfId="62" xr:uid="{00000000-0005-0000-0000-000030000000}"/>
    <cellStyle name="Normal 7 4" xfId="60" xr:uid="{00000000-0005-0000-0000-000031000000}"/>
    <cellStyle name="Normal 8" xfId="46" xr:uid="{00000000-0005-0000-0000-000032000000}"/>
    <cellStyle name="Normal 9" xfId="47" xr:uid="{00000000-0005-0000-0000-000033000000}"/>
    <cellStyle name="Normal 9 2" xfId="63" xr:uid="{00000000-0005-0000-0000-000034000000}"/>
    <cellStyle name="Percent" xfId="57" builtinId="5"/>
    <cellStyle name="Percent 2 2" xfId="6" xr:uid="{00000000-0005-0000-0000-000036000000}"/>
    <cellStyle name="Percent 2 2 2" xfId="28" xr:uid="{00000000-0005-0000-0000-000037000000}"/>
    <cellStyle name="Percent 2 2 3" xfId="38" xr:uid="{00000000-0005-0000-0000-000038000000}"/>
    <cellStyle name="Percent 2 3" xfId="14" xr:uid="{00000000-0005-0000-0000-000039000000}"/>
    <cellStyle name="Percent 2 3 2" xfId="31" xr:uid="{00000000-0005-0000-0000-00003A000000}"/>
    <cellStyle name="Percent 2 3 3" xfId="41" xr:uid="{00000000-0005-0000-0000-00003B000000}"/>
    <cellStyle name="Percent 2 4" xfId="18" xr:uid="{00000000-0005-0000-0000-00003C000000}"/>
    <cellStyle name="Percent 2 4 2" xfId="34" xr:uid="{00000000-0005-0000-0000-00003D000000}"/>
    <cellStyle name="Percent 2 4 3" xfId="44" xr:uid="{00000000-0005-0000-0000-00003E000000}"/>
    <cellStyle name="Percent 2 5" xfId="25" xr:uid="{00000000-0005-0000-0000-00003F000000}"/>
    <cellStyle name="Percent 2 6" xfId="20" xr:uid="{00000000-0005-0000-0000-000040000000}"/>
    <cellStyle name="Percent 2 7" xfId="50" xr:uid="{00000000-0005-0000-0000-000041000000}"/>
    <cellStyle name="Percent 2 8" xfId="53" xr:uid="{00000000-0005-0000-0000-000042000000}"/>
  </cellStyles>
  <dxfs count="0"/>
  <tableStyles count="0" defaultTableStyle="TableStyleMedium9" defaultPivotStyle="PivotStyleLight16"/>
  <colors>
    <mruColors>
      <color rgb="FF33CC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197068</xdr:colOff>
      <xdr:row>2</xdr:row>
      <xdr:rowOff>21898</xdr:rowOff>
    </xdr:from>
    <xdr:to>
      <xdr:col>9</xdr:col>
      <xdr:colOff>61545</xdr:colOff>
      <xdr:row>7</xdr:row>
      <xdr:rowOff>106895</xdr:rowOff>
    </xdr:to>
    <xdr:pic>
      <xdr:nvPicPr>
        <xdr:cNvPr id="2" name="Picture 1" descr="LISD_NoTag_RG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068" y="412423"/>
          <a:ext cx="2007602" cy="1266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197068</xdr:colOff>
      <xdr:row>2</xdr:row>
      <xdr:rowOff>21898</xdr:rowOff>
    </xdr:from>
    <xdr:ext cx="2010339" cy="1256462"/>
    <xdr:pic>
      <xdr:nvPicPr>
        <xdr:cNvPr id="2" name="Picture 1" descr="LISD_NoTag_RGB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4768" y="402898"/>
          <a:ext cx="2010339" cy="12564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1"/>
  <sheetViews>
    <sheetView showOutlineSymbols="0" zoomScale="87" zoomScaleNormal="87" workbookViewId="0">
      <selection activeCell="B35" sqref="B35"/>
    </sheetView>
  </sheetViews>
  <sheetFormatPr defaultColWidth="11.140625" defaultRowHeight="15" x14ac:dyDescent="0.2"/>
  <cols>
    <col min="1" max="1" width="7.140625" style="117" customWidth="1"/>
    <col min="2" max="8" width="11.140625" style="117"/>
    <col min="9" max="9" width="9.85546875" style="117" customWidth="1"/>
    <col min="10" max="10" width="2.28515625" style="117" customWidth="1"/>
    <col min="11" max="11" width="5" style="117" customWidth="1"/>
    <col min="12" max="13" width="27.140625" style="117" customWidth="1"/>
    <col min="14" max="16384" width="11.140625" style="117"/>
  </cols>
  <sheetData>
    <row r="2" spans="2:12" ht="15.75" thickBot="1" x14ac:dyDescent="0.25"/>
    <row r="3" spans="2:12" x14ac:dyDescent="0.2">
      <c r="B3" s="118"/>
      <c r="C3" s="119"/>
      <c r="D3" s="119"/>
      <c r="E3" s="119"/>
      <c r="F3" s="119"/>
      <c r="G3" s="119"/>
      <c r="H3" s="119"/>
      <c r="I3" s="119"/>
      <c r="J3" s="120"/>
      <c r="K3" s="121"/>
      <c r="L3" s="121"/>
    </row>
    <row r="4" spans="2:12" x14ac:dyDescent="0.2">
      <c r="B4" s="122"/>
      <c r="C4" s="121"/>
      <c r="D4" s="121"/>
      <c r="E4" s="121"/>
      <c r="F4" s="121"/>
      <c r="G4" s="121"/>
      <c r="H4" s="121"/>
      <c r="I4" s="121"/>
      <c r="J4" s="123"/>
      <c r="K4" s="121"/>
      <c r="L4" s="121"/>
    </row>
    <row r="5" spans="2:12" x14ac:dyDescent="0.2">
      <c r="B5" s="124"/>
      <c r="C5" s="125"/>
      <c r="D5" s="125"/>
      <c r="E5" s="125"/>
      <c r="F5" s="125"/>
      <c r="G5" s="125"/>
      <c r="H5" s="125"/>
      <c r="I5" s="125"/>
      <c r="J5" s="123"/>
      <c r="K5" s="121"/>
      <c r="L5" s="121"/>
    </row>
    <row r="6" spans="2:12" ht="18" x14ac:dyDescent="0.25">
      <c r="B6" s="124"/>
      <c r="C6" s="126"/>
      <c r="D6" s="127"/>
      <c r="E6" s="127"/>
      <c r="F6" s="127"/>
      <c r="G6" s="127"/>
      <c r="H6" s="127"/>
      <c r="I6" s="127"/>
      <c r="J6" s="123"/>
      <c r="K6" s="121"/>
      <c r="L6" s="121"/>
    </row>
    <row r="7" spans="2:12" ht="30" x14ac:dyDescent="0.4">
      <c r="B7" s="128"/>
      <c r="C7" s="126"/>
      <c r="D7" s="127"/>
      <c r="E7" s="127"/>
      <c r="F7" s="127"/>
      <c r="G7" s="127"/>
      <c r="H7" s="127"/>
      <c r="I7" s="127"/>
      <c r="J7" s="123"/>
      <c r="K7" s="121"/>
      <c r="L7" s="121"/>
    </row>
    <row r="8" spans="2:12" ht="30" x14ac:dyDescent="0.4">
      <c r="B8" s="128" t="s">
        <v>0</v>
      </c>
      <c r="C8" s="126"/>
      <c r="D8" s="127"/>
      <c r="E8" s="127"/>
      <c r="F8" s="127"/>
      <c r="G8" s="127"/>
      <c r="H8" s="127"/>
      <c r="I8" s="127"/>
      <c r="J8" s="123"/>
      <c r="K8" s="121"/>
      <c r="L8" s="121"/>
    </row>
    <row r="9" spans="2:12" ht="18" x14ac:dyDescent="0.25">
      <c r="B9" s="129"/>
      <c r="C9" s="126"/>
      <c r="D9" s="127"/>
      <c r="E9" s="127"/>
      <c r="F9" s="127"/>
      <c r="G9" s="127"/>
      <c r="H9" s="127"/>
      <c r="I9" s="127"/>
      <c r="J9" s="123"/>
      <c r="K9" s="121"/>
      <c r="L9" s="121"/>
    </row>
    <row r="10" spans="2:12" ht="18.75" thickBot="1" x14ac:dyDescent="0.3">
      <c r="B10" s="130"/>
      <c r="C10" s="131"/>
      <c r="D10" s="132"/>
      <c r="E10" s="132"/>
      <c r="F10" s="132"/>
      <c r="G10" s="132"/>
      <c r="H10" s="132"/>
      <c r="I10" s="132"/>
      <c r="J10" s="133"/>
      <c r="K10" s="121"/>
      <c r="L10" s="121"/>
    </row>
    <row r="11" spans="2:12" ht="18" x14ac:dyDescent="0.25">
      <c r="B11" s="134"/>
      <c r="C11" s="134"/>
      <c r="D11" s="135"/>
      <c r="E11" s="135"/>
      <c r="F11" s="135"/>
      <c r="G11" s="135"/>
      <c r="H11" s="135"/>
      <c r="I11" s="136"/>
      <c r="J11" s="121"/>
      <c r="K11" s="121"/>
      <c r="L11" s="121"/>
    </row>
    <row r="12" spans="2:12" ht="18.75" thickBot="1" x14ac:dyDescent="0.3">
      <c r="B12" s="134"/>
      <c r="C12" s="134"/>
      <c r="D12" s="135"/>
      <c r="E12" s="135"/>
      <c r="F12" s="135"/>
      <c r="G12" s="135"/>
      <c r="H12" s="135"/>
      <c r="I12" s="135"/>
    </row>
    <row r="13" spans="2:12" x14ac:dyDescent="0.2">
      <c r="B13" s="137"/>
      <c r="C13" s="138"/>
      <c r="D13" s="138"/>
      <c r="E13" s="138"/>
      <c r="F13" s="138"/>
      <c r="G13" s="138"/>
      <c r="H13" s="138"/>
      <c r="I13" s="138"/>
      <c r="J13" s="120"/>
    </row>
    <row r="14" spans="2:12" x14ac:dyDescent="0.2">
      <c r="B14" s="124"/>
      <c r="C14" s="125"/>
      <c r="D14" s="125"/>
      <c r="E14" s="125"/>
      <c r="F14" s="125"/>
      <c r="G14" s="125"/>
      <c r="H14" s="125"/>
      <c r="I14" s="125"/>
      <c r="J14" s="123"/>
    </row>
    <row r="15" spans="2:12" x14ac:dyDescent="0.2">
      <c r="B15" s="124"/>
      <c r="C15" s="125"/>
      <c r="D15" s="125"/>
      <c r="E15" s="125"/>
      <c r="F15" s="125"/>
      <c r="G15" s="125"/>
      <c r="H15" s="125"/>
      <c r="I15" s="125"/>
      <c r="J15" s="123"/>
    </row>
    <row r="16" spans="2:12" x14ac:dyDescent="0.2">
      <c r="B16" s="124"/>
      <c r="C16" s="125"/>
      <c r="D16" s="125"/>
      <c r="E16" s="125"/>
      <c r="F16" s="125"/>
      <c r="G16" s="125"/>
      <c r="H16" s="125"/>
      <c r="I16" s="125"/>
      <c r="J16" s="123"/>
    </row>
    <row r="17" spans="1:10" x14ac:dyDescent="0.2">
      <c r="B17" s="124"/>
      <c r="C17" s="125"/>
      <c r="D17" s="125"/>
      <c r="E17" s="125"/>
      <c r="F17" s="125"/>
      <c r="G17" s="125"/>
      <c r="H17" s="125"/>
      <c r="I17" s="125"/>
      <c r="J17" s="123"/>
    </row>
    <row r="18" spans="1:10" ht="30" x14ac:dyDescent="0.4">
      <c r="A18" s="135"/>
      <c r="B18" s="128" t="s">
        <v>154</v>
      </c>
      <c r="C18" s="127"/>
      <c r="D18" s="127"/>
      <c r="E18" s="127"/>
      <c r="F18" s="127"/>
      <c r="G18" s="127"/>
      <c r="H18" s="127"/>
      <c r="I18" s="127"/>
      <c r="J18" s="123"/>
    </row>
    <row r="19" spans="1:10" ht="30" x14ac:dyDescent="0.4">
      <c r="A19" s="135"/>
      <c r="B19" s="128"/>
      <c r="C19" s="127"/>
      <c r="D19" s="127"/>
      <c r="E19" s="127"/>
      <c r="F19" s="127"/>
      <c r="G19" s="127"/>
      <c r="H19" s="127"/>
      <c r="I19" s="127"/>
      <c r="J19" s="123"/>
    </row>
    <row r="20" spans="1:10" ht="30" x14ac:dyDescent="0.4">
      <c r="A20" s="135"/>
      <c r="B20" s="128" t="s">
        <v>185</v>
      </c>
      <c r="C20" s="127"/>
      <c r="D20" s="127"/>
      <c r="E20" s="127"/>
      <c r="F20" s="127"/>
      <c r="G20" s="127"/>
      <c r="H20" s="127"/>
      <c r="I20" s="127"/>
      <c r="J20" s="123"/>
    </row>
    <row r="21" spans="1:10" ht="30" x14ac:dyDescent="0.4">
      <c r="A21" s="135"/>
      <c r="B21" s="128"/>
      <c r="C21" s="127"/>
      <c r="D21" s="127"/>
      <c r="E21" s="127"/>
      <c r="F21" s="127"/>
      <c r="G21" s="127"/>
      <c r="H21" s="127"/>
      <c r="I21" s="127"/>
      <c r="J21" s="123"/>
    </row>
    <row r="22" spans="1:10" ht="30" x14ac:dyDescent="0.4">
      <c r="A22" s="135"/>
      <c r="B22" s="128" t="s">
        <v>226</v>
      </c>
      <c r="C22" s="127"/>
      <c r="D22" s="127"/>
      <c r="E22" s="127"/>
      <c r="F22" s="127"/>
      <c r="G22" s="127"/>
      <c r="H22" s="127"/>
      <c r="I22" s="127"/>
      <c r="J22" s="123"/>
    </row>
    <row r="23" spans="1:10" ht="30" x14ac:dyDescent="0.4">
      <c r="A23" s="135"/>
      <c r="B23" s="128"/>
      <c r="C23" s="127"/>
      <c r="D23" s="127"/>
      <c r="E23" s="127"/>
      <c r="F23" s="127"/>
      <c r="G23" s="127"/>
      <c r="H23" s="127"/>
      <c r="I23" s="127"/>
      <c r="J23" s="123"/>
    </row>
    <row r="24" spans="1:10" ht="30" x14ac:dyDescent="0.4">
      <c r="A24" s="135"/>
      <c r="B24" s="128" t="s">
        <v>186</v>
      </c>
      <c r="C24" s="127"/>
      <c r="D24" s="127"/>
      <c r="E24" s="127"/>
      <c r="F24" s="127"/>
      <c r="G24" s="127"/>
      <c r="H24" s="127"/>
      <c r="I24" s="127"/>
      <c r="J24" s="123"/>
    </row>
    <row r="25" spans="1:10" ht="30" x14ac:dyDescent="0.4">
      <c r="A25" s="135"/>
      <c r="B25" s="128"/>
      <c r="C25" s="127"/>
      <c r="D25" s="127"/>
      <c r="E25" s="127"/>
      <c r="F25" s="127"/>
      <c r="G25" s="127"/>
      <c r="H25" s="127"/>
      <c r="I25" s="127"/>
      <c r="J25" s="123"/>
    </row>
    <row r="26" spans="1:10" ht="20.25" x14ac:dyDescent="0.3">
      <c r="A26" s="135"/>
      <c r="B26" s="139" t="s">
        <v>227</v>
      </c>
      <c r="C26" s="127"/>
      <c r="D26" s="127"/>
      <c r="E26" s="127"/>
      <c r="F26" s="127"/>
      <c r="G26" s="127"/>
      <c r="H26" s="127"/>
      <c r="I26" s="127"/>
      <c r="J26" s="123"/>
    </row>
    <row r="27" spans="1:10" ht="30" x14ac:dyDescent="0.4">
      <c r="A27" s="135"/>
      <c r="B27" s="128"/>
      <c r="C27" s="127"/>
      <c r="D27" s="127"/>
      <c r="E27" s="127"/>
      <c r="F27" s="127"/>
      <c r="G27" s="127"/>
      <c r="H27" s="127"/>
      <c r="I27" s="127"/>
      <c r="J27" s="123"/>
    </row>
    <row r="28" spans="1:10" x14ac:dyDescent="0.2">
      <c r="A28" s="135"/>
      <c r="B28" s="140"/>
      <c r="C28" s="127"/>
      <c r="D28" s="127"/>
      <c r="E28" s="127"/>
      <c r="F28" s="127"/>
      <c r="G28" s="127"/>
      <c r="H28" s="127"/>
      <c r="I28" s="127"/>
      <c r="J28" s="123"/>
    </row>
    <row r="29" spans="1:10" x14ac:dyDescent="0.2">
      <c r="A29" s="135"/>
      <c r="B29" s="140"/>
      <c r="C29" s="127"/>
      <c r="D29" s="127"/>
      <c r="E29" s="127"/>
      <c r="F29" s="127"/>
      <c r="G29" s="127"/>
      <c r="H29" s="127"/>
      <c r="I29" s="127"/>
      <c r="J29" s="123"/>
    </row>
    <row r="30" spans="1:10" x14ac:dyDescent="0.2">
      <c r="A30" s="135"/>
      <c r="B30" s="141"/>
      <c r="C30" s="136"/>
      <c r="D30" s="136"/>
      <c r="E30" s="136"/>
      <c r="F30" s="136"/>
      <c r="G30" s="136"/>
      <c r="H30" s="136"/>
      <c r="I30" s="136"/>
      <c r="J30" s="123"/>
    </row>
    <row r="31" spans="1:10" ht="15.75" thickBot="1" x14ac:dyDescent="0.25">
      <c r="A31" s="135"/>
      <c r="B31" s="142"/>
      <c r="C31" s="143"/>
      <c r="D31" s="143"/>
      <c r="E31" s="143"/>
      <c r="F31" s="143"/>
      <c r="G31" s="143"/>
      <c r="H31" s="143"/>
      <c r="I31" s="143"/>
      <c r="J31" s="133"/>
    </row>
    <row r="32" spans="1:10" ht="15.75" thickBot="1" x14ac:dyDescent="0.25">
      <c r="A32" s="135"/>
      <c r="B32" s="144"/>
      <c r="C32" s="144"/>
      <c r="D32" s="144"/>
      <c r="E32" s="144"/>
      <c r="F32" s="144"/>
      <c r="G32" s="144"/>
      <c r="H32" s="144"/>
      <c r="I32" s="144"/>
    </row>
    <row r="33" spans="1:10" x14ac:dyDescent="0.2">
      <c r="A33" s="135"/>
      <c r="B33" s="145"/>
      <c r="C33" s="146"/>
      <c r="D33" s="146"/>
      <c r="E33" s="146"/>
      <c r="F33" s="146"/>
      <c r="G33" s="146"/>
      <c r="H33" s="146"/>
      <c r="I33" s="146"/>
      <c r="J33" s="120"/>
    </row>
    <row r="34" spans="1:10" ht="22.5" x14ac:dyDescent="0.3">
      <c r="A34" s="135"/>
      <c r="B34" s="147" t="s">
        <v>245</v>
      </c>
      <c r="C34" s="126"/>
      <c r="D34" s="127"/>
      <c r="E34" s="127"/>
      <c r="F34" s="127"/>
      <c r="G34" s="127"/>
      <c r="H34" s="127"/>
      <c r="I34" s="127"/>
      <c r="J34" s="123"/>
    </row>
    <row r="35" spans="1:10" ht="22.5" x14ac:dyDescent="0.3">
      <c r="A35" s="135"/>
      <c r="B35" s="148">
        <v>44067</v>
      </c>
      <c r="C35" s="126"/>
      <c r="D35" s="360"/>
      <c r="E35" s="360"/>
      <c r="F35" s="360"/>
      <c r="G35" s="360"/>
      <c r="H35" s="127"/>
      <c r="I35" s="127"/>
      <c r="J35" s="123"/>
    </row>
    <row r="36" spans="1:10" ht="18.75" thickBot="1" x14ac:dyDescent="0.3">
      <c r="A36" s="135"/>
      <c r="B36" s="130"/>
      <c r="C36" s="131"/>
      <c r="D36" s="132"/>
      <c r="E36" s="132"/>
      <c r="F36" s="132"/>
      <c r="G36" s="132"/>
      <c r="H36" s="132"/>
      <c r="I36" s="132"/>
      <c r="J36" s="133"/>
    </row>
    <row r="37" spans="1:10" ht="18" x14ac:dyDescent="0.25">
      <c r="A37" s="135"/>
      <c r="B37" s="149"/>
      <c r="C37" s="149"/>
      <c r="D37" s="144"/>
      <c r="E37" s="144"/>
      <c r="F37" s="144"/>
      <c r="G37" s="144"/>
      <c r="H37" s="144"/>
      <c r="I37" s="144"/>
    </row>
    <row r="38" spans="1:10" ht="18" x14ac:dyDescent="0.25">
      <c r="B38" s="150"/>
      <c r="C38" s="150"/>
    </row>
    <row r="39" spans="1:10" ht="18" x14ac:dyDescent="0.25">
      <c r="B39" s="150"/>
      <c r="C39" s="150"/>
    </row>
    <row r="40" spans="1:10" ht="18" x14ac:dyDescent="0.25">
      <c r="B40" s="150"/>
      <c r="C40" s="150"/>
    </row>
    <row r="41" spans="1:10" ht="18" x14ac:dyDescent="0.25">
      <c r="B41" s="150"/>
      <c r="C41" s="150"/>
    </row>
  </sheetData>
  <pageMargins left="0.5" right="0.25" top="0.75" bottom="0.75" header="0.5" footer="0.5"/>
  <pageSetup scale="76" orientation="portrait" r:id="rId1"/>
  <headerFooter alignWithMargins="0"/>
  <rowBreaks count="2" manualBreakCount="2">
    <brk id="33" max="10" man="1"/>
    <brk id="35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18"/>
  <sheetViews>
    <sheetView zoomScaleNormal="100" workbookViewId="0">
      <selection activeCell="L11" sqref="L11"/>
    </sheetView>
  </sheetViews>
  <sheetFormatPr defaultRowHeight="15" x14ac:dyDescent="0.25"/>
  <cols>
    <col min="1" max="1" width="5.85546875" style="337" customWidth="1"/>
    <col min="2" max="2" width="4.85546875" style="172" customWidth="1"/>
    <col min="3" max="3" width="20.140625" style="172" bestFit="1" customWidth="1"/>
    <col min="4" max="4" width="13.85546875" style="173" customWidth="1"/>
    <col min="5" max="5" width="1.28515625" style="270" customWidth="1"/>
    <col min="6" max="6" width="13.85546875" style="173" customWidth="1"/>
    <col min="7" max="7" width="1.28515625" style="270" customWidth="1"/>
    <col min="8" max="8" width="13.85546875" style="173" customWidth="1"/>
    <col min="9" max="9" width="1.5703125" style="174" customWidth="1"/>
    <col min="10" max="10" width="11.42578125" style="172" customWidth="1"/>
    <col min="11" max="11" width="1.28515625" style="270" customWidth="1"/>
    <col min="12" max="12" width="8.85546875" style="172"/>
    <col min="13" max="21" width="0" hidden="1" customWidth="1"/>
  </cols>
  <sheetData>
    <row r="1" spans="1:18" x14ac:dyDescent="0.25">
      <c r="B1" s="236" t="s">
        <v>0</v>
      </c>
      <c r="C1" s="236"/>
      <c r="D1" s="275"/>
      <c r="E1" s="276"/>
      <c r="F1" s="277"/>
      <c r="G1" s="278"/>
      <c r="H1" s="279"/>
      <c r="I1" s="237"/>
      <c r="J1" s="238"/>
      <c r="K1" s="239"/>
      <c r="L1" s="238"/>
    </row>
    <row r="2" spans="1:18" x14ac:dyDescent="0.25">
      <c r="B2" s="271" t="s">
        <v>98</v>
      </c>
      <c r="C2" s="240"/>
      <c r="D2" s="279"/>
      <c r="E2" s="280"/>
      <c r="F2" s="281"/>
      <c r="G2" s="282"/>
      <c r="H2" s="279"/>
      <c r="I2" s="237"/>
      <c r="J2" s="238"/>
      <c r="K2" s="239"/>
      <c r="L2" s="238"/>
    </row>
    <row r="3" spans="1:18" x14ac:dyDescent="0.25">
      <c r="B3" s="272"/>
      <c r="C3" s="241"/>
      <c r="D3" s="242"/>
      <c r="E3" s="243"/>
      <c r="F3" s="244"/>
      <c r="G3" s="244"/>
      <c r="H3" s="242"/>
      <c r="I3" s="245"/>
      <c r="J3" s="246"/>
      <c r="K3" s="247"/>
      <c r="L3" s="246"/>
      <c r="N3" s="330" t="s">
        <v>219</v>
      </c>
      <c r="O3" s="330"/>
      <c r="P3" s="330"/>
      <c r="Q3" s="330"/>
      <c r="R3" s="330"/>
    </row>
    <row r="4" spans="1:18" x14ac:dyDescent="0.25">
      <c r="B4" s="241"/>
      <c r="C4" s="241"/>
      <c r="D4" s="175" t="s">
        <v>150</v>
      </c>
      <c r="E4" s="181"/>
      <c r="F4" s="175" t="s">
        <v>150</v>
      </c>
      <c r="G4" s="181"/>
      <c r="H4" s="175" t="s">
        <v>150</v>
      </c>
      <c r="I4" s="224"/>
      <c r="J4" s="177" t="s">
        <v>48</v>
      </c>
      <c r="K4" s="178"/>
      <c r="L4" s="179"/>
      <c r="N4" s="329" t="s">
        <v>220</v>
      </c>
      <c r="O4" s="329"/>
      <c r="P4" s="329"/>
      <c r="Q4" s="329"/>
      <c r="R4" s="330"/>
    </row>
    <row r="5" spans="1:18" x14ac:dyDescent="0.25">
      <c r="B5" s="241"/>
      <c r="C5" s="241"/>
      <c r="D5" s="180" t="s">
        <v>192</v>
      </c>
      <c r="E5" s="181"/>
      <c r="F5" s="180" t="s">
        <v>154</v>
      </c>
      <c r="G5" s="231"/>
      <c r="H5" s="180" t="s">
        <v>154</v>
      </c>
      <c r="I5" s="224"/>
      <c r="J5" s="177" t="s">
        <v>49</v>
      </c>
      <c r="K5" s="178"/>
      <c r="L5" s="182" t="s">
        <v>48</v>
      </c>
      <c r="N5" s="330"/>
      <c r="O5" s="330"/>
      <c r="P5" s="330"/>
      <c r="Q5" s="330"/>
      <c r="R5" s="330"/>
    </row>
    <row r="6" spans="1:18" x14ac:dyDescent="0.25">
      <c r="B6" s="241"/>
      <c r="C6" s="241"/>
      <c r="D6" s="183" t="s">
        <v>174</v>
      </c>
      <c r="E6" s="181"/>
      <c r="F6" s="183" t="s">
        <v>212</v>
      </c>
      <c r="G6" s="210"/>
      <c r="H6" s="183" t="s">
        <v>221</v>
      </c>
      <c r="I6" s="210"/>
      <c r="J6" s="184" t="s">
        <v>50</v>
      </c>
      <c r="K6" s="178"/>
      <c r="L6" s="185" t="s">
        <v>51</v>
      </c>
      <c r="N6" s="330"/>
      <c r="O6" s="330"/>
      <c r="P6" s="330"/>
      <c r="Q6" s="330"/>
      <c r="R6" s="330"/>
    </row>
    <row r="7" spans="1:18" x14ac:dyDescent="0.25">
      <c r="A7" s="337" t="s">
        <v>242</v>
      </c>
      <c r="B7" s="241"/>
      <c r="C7" s="241"/>
      <c r="D7" s="248"/>
      <c r="E7" s="243"/>
      <c r="F7" s="242"/>
      <c r="G7" s="249"/>
      <c r="H7" s="242"/>
      <c r="I7" s="245"/>
      <c r="J7" s="246"/>
      <c r="K7" s="247"/>
      <c r="L7" s="246"/>
      <c r="N7" s="330"/>
      <c r="O7" s="330"/>
      <c r="P7" s="330"/>
      <c r="Q7" s="330"/>
      <c r="R7" s="330"/>
    </row>
    <row r="8" spans="1:18" x14ac:dyDescent="0.25">
      <c r="A8" s="337">
        <v>1</v>
      </c>
      <c r="B8" s="241" t="s">
        <v>99</v>
      </c>
      <c r="C8" s="241" t="s">
        <v>100</v>
      </c>
      <c r="D8" s="250">
        <v>383296072.43000001</v>
      </c>
      <c r="E8" s="251"/>
      <c r="F8" s="250">
        <f>+'GF Exp by Func &amp; Mj Obj '!D9+'GF Exp by Func &amp; Mj Obj '!D17+'GF Exp by Func &amp; Mj Obj '!D24+'GF Exp by Func &amp; Mj Obj '!D31+'GF Exp by Func &amp; Mj Obj '!D38+'GF Exp by Func &amp; Mj Obj '!D45+'GF Exp by Func &amp; Mj Obj '!D59+'GF Exp by Func &amp; Mj Obj '!D65+'GF Exp by Func &amp; Mj Obj '!D72+'GF Exp by Func &amp; Mj Obj '!D81+'GF Exp by Func &amp; Mj Obj '!D85+'GF Exp by Func &amp; Mj Obj '!D93+'GF Exp by Func &amp; Mj Obj '!D100+'GF Exp by Func &amp; Mj Obj '!D115+'GF Exp by Func &amp; Mj Obj '!D123+'GF Exp by Func &amp; Mj Obj '!D131</f>
        <v>399721012</v>
      </c>
      <c r="G8" s="252"/>
      <c r="H8" s="250">
        <f>'GF Exp by Func &amp; Mj Obj '!F9+'GF Exp by Func &amp; Mj Obj '!F17+'GF Exp by Func &amp; Mj Obj '!F24+'GF Exp by Func &amp; Mj Obj '!F31+'GF Exp by Func &amp; Mj Obj '!F38+'GF Exp by Func &amp; Mj Obj '!F45+'GF Exp by Func &amp; Mj Obj '!F59+'GF Exp by Func &amp; Mj Obj '!F65+'GF Exp by Func &amp; Mj Obj '!F72+'GF Exp by Func &amp; Mj Obj '!F81+'GF Exp by Func &amp; Mj Obj '!F85+'GF Exp by Func &amp; Mj Obj '!F93+'GF Exp by Func &amp; Mj Obj '!F100+'GF Exp by Func &amp; Mj Obj '!F115+'GF Exp by Func &amp; Mj Obj '!F123+'GF Exp by Func &amp; Mj Obj '!F131</f>
        <v>422778877.00000012</v>
      </c>
      <c r="I8" s="253"/>
      <c r="J8" s="254">
        <f t="shared" ref="J8:J13" si="0">(+H8-F8)/F8</f>
        <v>5.7684895984402539E-2</v>
      </c>
      <c r="K8" s="255"/>
      <c r="L8" s="256">
        <f t="shared" ref="L8:L13" si="1">+H8/H$15</f>
        <v>0.77851121732444006</v>
      </c>
    </row>
    <row r="9" spans="1:18" x14ac:dyDescent="0.25">
      <c r="A9" s="337">
        <v>2</v>
      </c>
      <c r="B9" s="241" t="s">
        <v>101</v>
      </c>
      <c r="C9" s="241" t="s">
        <v>102</v>
      </c>
      <c r="D9" s="358">
        <v>85400473</v>
      </c>
      <c r="E9" s="258"/>
      <c r="F9" s="257">
        <f>+'GF Exp by Func &amp; Mj Obj '!D10+'GF Exp by Func &amp; Mj Obj '!D18+'GF Exp by Func &amp; Mj Obj '!D25+'GF Exp by Func &amp; Mj Obj '!D32+'GF Exp by Func &amp; Mj Obj '!D39+'GF Exp by Func &amp; Mj Obj '!D46+'GF Exp by Func &amp; Mj Obj '!D66+'GF Exp by Func &amp; Mj Obj '!D73+'GF Exp by Func &amp; Mj Obj '!D86+'GF Exp by Func &amp; Mj Obj '!D94+'GF Exp by Func &amp; Mj Obj '!D101+'GF Exp by Func &amp; Mj Obj '!D116+'GF Exp by Func &amp; Mj Obj '!D124+'GF Exp by Func &amp; Mj Obj '!D132+'GF Exp by Func &amp; Mj Obj '!D143+'GF Exp by Func &amp; Mj Obj '!D156+'GF Exp by Func &amp; Mj Obj '!D160</f>
        <v>81282163</v>
      </c>
      <c r="G9" s="258"/>
      <c r="H9" s="257">
        <f>'GF Exp by Func &amp; Mj Obj '!F10+'GF Exp by Func &amp; Mj Obj '!F18+'GF Exp by Func &amp; Mj Obj '!F25+'GF Exp by Func &amp; Mj Obj '!F32+'GF Exp by Func &amp; Mj Obj '!F39+'GF Exp by Func &amp; Mj Obj '!F46+'GF Exp by Func &amp; Mj Obj '!F66+'GF Exp by Func &amp; Mj Obj '!F73+'GF Exp by Func &amp; Mj Obj '!F86+'GF Exp by Func &amp; Mj Obj '!F94+'GF Exp by Func &amp; Mj Obj '!F101+'GF Exp by Func &amp; Mj Obj '!F116+'GF Exp by Func &amp; Mj Obj '!F124+'GF Exp by Func &amp; Mj Obj '!F132+'GF Exp by Func &amp; Mj Obj '!F143+'GF Exp by Func &amp; Mj Obj '!F156+'GF Exp by Func &amp; Mj Obj '!F160</f>
        <v>96017596</v>
      </c>
      <c r="I9" s="253"/>
      <c r="J9" s="254">
        <f t="shared" si="0"/>
        <v>0.18128741234408341</v>
      </c>
      <c r="K9" s="255"/>
      <c r="L9" s="256">
        <f t="shared" si="1"/>
        <v>0.17680820782000958</v>
      </c>
    </row>
    <row r="10" spans="1:18" x14ac:dyDescent="0.25">
      <c r="A10" s="337">
        <v>3</v>
      </c>
      <c r="B10" s="241" t="s">
        <v>103</v>
      </c>
      <c r="C10" s="241" t="s">
        <v>104</v>
      </c>
      <c r="D10" s="358">
        <v>11732015</v>
      </c>
      <c r="E10" s="258"/>
      <c r="F10" s="257">
        <f>+'GF Exp by Func &amp; Mj Obj '!D11+'GF Exp by Func &amp; Mj Obj '!D19+'GF Exp by Func &amp; Mj Obj '!D26+'GF Exp by Func &amp; Mj Obj '!D33+'GF Exp by Func &amp; Mj Obj '!D40+'GF Exp by Func &amp; Mj Obj '!D47+'GF Exp by Func &amp; Mj Obj '!D60+'GF Exp by Func &amp; Mj Obj '!D67+'GF Exp by Func &amp; Mj Obj '!D87+'GF Exp by Func &amp; Mj Obj '!D95+'GF Exp by Func &amp; Mj Obj '!D102+'GF Exp by Func &amp; Mj Obj '!D117+'GF Exp by Func &amp; Mj Obj '!D125+'GF Exp by Func &amp; Mj Obj '!D133</f>
        <v>14411293</v>
      </c>
      <c r="G10" s="258"/>
      <c r="H10" s="257">
        <f>'GF Exp by Func &amp; Mj Obj '!F11+'GF Exp by Func &amp; Mj Obj '!F19+'GF Exp by Func &amp; Mj Obj '!F26+'GF Exp by Func &amp; Mj Obj '!F33+'GF Exp by Func &amp; Mj Obj '!F40+'GF Exp by Func &amp; Mj Obj '!F47+'GF Exp by Func &amp; Mj Obj '!F60+'GF Exp by Func &amp; Mj Obj '!F67+'GF Exp by Func &amp; Mj Obj '!F87+'GF Exp by Func &amp; Mj Obj '!F95+'GF Exp by Func &amp; Mj Obj '!F102+'GF Exp by Func &amp; Mj Obj '!F117+'GF Exp by Func &amp; Mj Obj '!F125+'GF Exp by Func &amp; Mj Obj '!F133</f>
        <v>15199312</v>
      </c>
      <c r="I10" s="259"/>
      <c r="J10" s="254">
        <f t="shared" si="0"/>
        <v>5.4680659119206027E-2</v>
      </c>
      <c r="K10" s="255"/>
      <c r="L10" s="256">
        <f t="shared" si="1"/>
        <v>2.7988235768964319E-2</v>
      </c>
    </row>
    <row r="11" spans="1:18" x14ac:dyDescent="0.25">
      <c r="A11" s="337">
        <v>4</v>
      </c>
      <c r="B11" s="241" t="s">
        <v>105</v>
      </c>
      <c r="C11" s="241" t="s">
        <v>106</v>
      </c>
      <c r="D11" s="358">
        <v>7705038</v>
      </c>
      <c r="E11" s="258"/>
      <c r="F11" s="257">
        <f>+'GF Exp by Func &amp; Mj Obj '!D12+'GF Exp by Func &amp; Mj Obj '!D20+'GF Exp by Func &amp; Mj Obj '!D27+'GF Exp by Func &amp; Mj Obj '!D34+'GF Exp by Func &amp; Mj Obj '!D41+'GF Exp by Func &amp; Mj Obj '!D48+'GF Exp by Func &amp; Mj Obj '!D68+'GF Exp by Func &amp; Mj Obj '!D88+'GF Exp by Func &amp; Mj Obj '!D96+'GF Exp by Func &amp; Mj Obj '!D103+'GF Exp by Func &amp; Mj Obj '!D118+'GF Exp by Func &amp; Mj Obj '!D126+'GF Exp by Func &amp; Mj Obj '!D134+'GF Exp by Func &amp; Mj Obj '!D152</f>
        <v>8608889</v>
      </c>
      <c r="G11" s="258"/>
      <c r="H11" s="257">
        <f>'GF Exp by Func &amp; Mj Obj '!F12+'GF Exp by Func &amp; Mj Obj '!F20+'GF Exp by Func &amp; Mj Obj '!F27+'GF Exp by Func &amp; Mj Obj '!F34+'GF Exp by Func &amp; Mj Obj '!F41+'GF Exp by Func &amp; Mj Obj '!F48+'GF Exp by Func &amp; Mj Obj '!F61+'GF Exp by Func &amp; Mj Obj '!F68+'GF Exp by Func &amp; Mj Obj '!F88+'GF Exp by Func &amp; Mj Obj '!F96+'GF Exp by Func &amp; Mj Obj '!F103+'GF Exp by Func &amp; Mj Obj '!F118+'GF Exp by Func &amp; Mj Obj '!F126+'GF Exp by Func &amp; Mj Obj '!F134+'GF Exp by Func &amp; Mj Obj '!F152</f>
        <v>8854829</v>
      </c>
      <c r="I11" s="259"/>
      <c r="J11" s="254">
        <f t="shared" si="0"/>
        <v>2.8568146249765794E-2</v>
      </c>
      <c r="K11" s="255"/>
      <c r="L11" s="256">
        <f t="shared" si="1"/>
        <v>1.6305411833500264E-2</v>
      </c>
    </row>
    <row r="12" spans="1:18" s="56" customFormat="1" x14ac:dyDescent="0.25">
      <c r="A12" s="337">
        <v>5</v>
      </c>
      <c r="B12" s="241" t="s">
        <v>190</v>
      </c>
      <c r="C12" s="241" t="s">
        <v>21</v>
      </c>
      <c r="D12" s="358">
        <v>0</v>
      </c>
      <c r="E12" s="258"/>
      <c r="F12" s="257">
        <f>+'GF Exp by Func &amp; Mj Obj '!D139</f>
        <v>0</v>
      </c>
      <c r="G12" s="258"/>
      <c r="H12" s="292">
        <f>+'GF Exp by Func &amp; Mj Obj '!F139</f>
        <v>0</v>
      </c>
      <c r="I12" s="259"/>
      <c r="J12" s="254">
        <v>0</v>
      </c>
      <c r="K12" s="255"/>
      <c r="L12" s="256">
        <f t="shared" si="1"/>
        <v>0</v>
      </c>
    </row>
    <row r="13" spans="1:18" x14ac:dyDescent="0.25">
      <c r="A13" s="337">
        <v>6</v>
      </c>
      <c r="B13" s="241" t="s">
        <v>107</v>
      </c>
      <c r="C13" s="260" t="s">
        <v>108</v>
      </c>
      <c r="D13" s="359">
        <v>557600</v>
      </c>
      <c r="E13" s="258"/>
      <c r="F13" s="261">
        <f>'GF Exp by Func &amp; Mj Obj '!D13+'GF Exp by Func &amp; Mj Obj '!D104+'GF Exp by Func &amp; Mj Obj '!D119</f>
        <v>210125</v>
      </c>
      <c r="G13" s="258"/>
      <c r="H13" s="261">
        <f>+'GF Exp by Func &amp; Mj Obj '!F13+'GF Exp by Func &amp; Mj Obj '!F104+'GF Exp by Func &amp; Mj Obj '!F119</f>
        <v>210125</v>
      </c>
      <c r="I13" s="259"/>
      <c r="J13" s="262">
        <f t="shared" si="0"/>
        <v>0</v>
      </c>
      <c r="K13" s="255"/>
      <c r="L13" s="263">
        <f t="shared" si="1"/>
        <v>3.8692725308577306E-4</v>
      </c>
    </row>
    <row r="14" spans="1:18" x14ac:dyDescent="0.25">
      <c r="B14" s="241"/>
      <c r="C14" s="241"/>
      <c r="D14" s="358"/>
      <c r="E14" s="258"/>
      <c r="F14" s="258"/>
      <c r="G14" s="258"/>
      <c r="H14" s="258"/>
      <c r="I14" s="259"/>
      <c r="J14" s="264"/>
      <c r="K14" s="255"/>
      <c r="L14" s="265"/>
    </row>
    <row r="15" spans="1:18" ht="15.75" thickBot="1" x14ac:dyDescent="0.3">
      <c r="A15" s="337">
        <v>7</v>
      </c>
      <c r="B15" s="241"/>
      <c r="C15" s="266" t="s">
        <v>95</v>
      </c>
      <c r="D15" s="267">
        <f>SUM(D8:D14)</f>
        <v>488691198.43000001</v>
      </c>
      <c r="E15" s="251"/>
      <c r="F15" s="267">
        <f>SUM(F8:F14)</f>
        <v>504233482</v>
      </c>
      <c r="G15" s="252"/>
      <c r="H15" s="267">
        <f>SUM(H8:H14)</f>
        <v>543060739.00000012</v>
      </c>
      <c r="I15" s="259"/>
      <c r="J15" s="268">
        <f>(+H15-F15)/F15</f>
        <v>7.7002536297262628E-2</v>
      </c>
      <c r="K15" s="255"/>
      <c r="L15" s="269">
        <f>SUM(L8:L14)</f>
        <v>1.0000000000000002</v>
      </c>
    </row>
    <row r="16" spans="1:18" ht="15.75" thickTop="1" x14ac:dyDescent="0.25">
      <c r="I16" s="259"/>
    </row>
    <row r="17" spans="6:9" x14ac:dyDescent="0.25">
      <c r="F17" s="273"/>
      <c r="I17" s="259"/>
    </row>
    <row r="18" spans="6:9" x14ac:dyDescent="0.25">
      <c r="I18" s="259"/>
    </row>
    <row r="19" spans="6:9" x14ac:dyDescent="0.25">
      <c r="I19" s="259"/>
    </row>
    <row r="20" spans="6:9" x14ac:dyDescent="0.25">
      <c r="I20" s="259"/>
    </row>
    <row r="21" spans="6:9" x14ac:dyDescent="0.25">
      <c r="H21" s="333"/>
      <c r="I21" s="259"/>
    </row>
    <row r="22" spans="6:9" x14ac:dyDescent="0.25">
      <c r="H22" s="332"/>
      <c r="I22" s="259"/>
    </row>
    <row r="23" spans="6:9" x14ac:dyDescent="0.25">
      <c r="I23" s="259"/>
    </row>
    <row r="24" spans="6:9" x14ac:dyDescent="0.25">
      <c r="I24" s="259"/>
    </row>
    <row r="25" spans="6:9" x14ac:dyDescent="0.25">
      <c r="I25" s="259"/>
    </row>
    <row r="26" spans="6:9" x14ac:dyDescent="0.25">
      <c r="I26" s="259"/>
    </row>
    <row r="27" spans="6:9" x14ac:dyDescent="0.25">
      <c r="I27" s="259"/>
    </row>
    <row r="28" spans="6:9" x14ac:dyDescent="0.25">
      <c r="I28" s="259"/>
    </row>
    <row r="29" spans="6:9" x14ac:dyDescent="0.25">
      <c r="I29" s="259"/>
    </row>
    <row r="30" spans="6:9" x14ac:dyDescent="0.25">
      <c r="I30" s="274"/>
    </row>
    <row r="31" spans="6:9" x14ac:dyDescent="0.25">
      <c r="I31" s="274"/>
    </row>
    <row r="32" spans="6:9" x14ac:dyDescent="0.25">
      <c r="I32" s="274"/>
    </row>
    <row r="33" spans="9:9" x14ac:dyDescent="0.25">
      <c r="I33" s="274"/>
    </row>
    <row r="34" spans="9:9" x14ac:dyDescent="0.25">
      <c r="I34" s="274"/>
    </row>
    <row r="35" spans="9:9" x14ac:dyDescent="0.25">
      <c r="I35" s="274"/>
    </row>
    <row r="36" spans="9:9" x14ac:dyDescent="0.25">
      <c r="I36" s="274"/>
    </row>
    <row r="37" spans="9:9" x14ac:dyDescent="0.25">
      <c r="I37" s="274"/>
    </row>
    <row r="38" spans="9:9" x14ac:dyDescent="0.25">
      <c r="I38" s="274"/>
    </row>
    <row r="79" spans="10:11" x14ac:dyDescent="0.25">
      <c r="J79" s="270"/>
      <c r="K79" s="172"/>
    </row>
    <row r="80" spans="10:11" x14ac:dyDescent="0.25">
      <c r="J80" s="270"/>
      <c r="K80" s="172"/>
    </row>
    <row r="81" spans="10:11" x14ac:dyDescent="0.25">
      <c r="J81" s="270"/>
      <c r="K81" s="172"/>
    </row>
    <row r="82" spans="10:11" x14ac:dyDescent="0.25">
      <c r="J82" s="270"/>
      <c r="K82" s="172"/>
    </row>
    <row r="83" spans="10:11" x14ac:dyDescent="0.25">
      <c r="J83" s="270"/>
      <c r="K83" s="172"/>
    </row>
    <row r="84" spans="10:11" x14ac:dyDescent="0.25">
      <c r="J84" s="270"/>
      <c r="K84" s="172"/>
    </row>
    <row r="85" spans="10:11" x14ac:dyDescent="0.25">
      <c r="J85" s="270"/>
      <c r="K85" s="172"/>
    </row>
    <row r="86" spans="10:11" x14ac:dyDescent="0.25">
      <c r="J86" s="270"/>
      <c r="K86" s="172"/>
    </row>
    <row r="87" spans="10:11" x14ac:dyDescent="0.25">
      <c r="J87" s="270"/>
      <c r="K87" s="172"/>
    </row>
    <row r="88" spans="10:11" x14ac:dyDescent="0.25">
      <c r="J88" s="270"/>
      <c r="K88" s="172"/>
    </row>
    <row r="89" spans="10:11" x14ac:dyDescent="0.25">
      <c r="J89" s="270"/>
      <c r="K89" s="172"/>
    </row>
    <row r="90" spans="10:11" x14ac:dyDescent="0.25">
      <c r="J90" s="270"/>
      <c r="K90" s="172"/>
    </row>
    <row r="91" spans="10:11" x14ac:dyDescent="0.25">
      <c r="J91" s="270"/>
      <c r="K91" s="172"/>
    </row>
    <row r="92" spans="10:11" x14ac:dyDescent="0.25">
      <c r="J92" s="270"/>
      <c r="K92" s="172"/>
    </row>
    <row r="93" spans="10:11" x14ac:dyDescent="0.25">
      <c r="J93" s="270"/>
      <c r="K93" s="172"/>
    </row>
    <row r="94" spans="10:11" x14ac:dyDescent="0.25">
      <c r="J94" s="270"/>
      <c r="K94" s="172"/>
    </row>
    <row r="95" spans="10:11" x14ac:dyDescent="0.25">
      <c r="J95" s="270"/>
      <c r="K95" s="172"/>
    </row>
    <row r="96" spans="10:11" x14ac:dyDescent="0.25">
      <c r="J96" s="270"/>
      <c r="K96" s="172"/>
    </row>
    <row r="97" spans="10:11" x14ac:dyDescent="0.25">
      <c r="J97" s="270"/>
      <c r="K97" s="172"/>
    </row>
    <row r="98" spans="10:11" x14ac:dyDescent="0.25">
      <c r="J98" s="270"/>
      <c r="K98" s="172"/>
    </row>
    <row r="99" spans="10:11" x14ac:dyDescent="0.25">
      <c r="J99" s="270"/>
      <c r="K99" s="172"/>
    </row>
    <row r="100" spans="10:11" x14ac:dyDescent="0.25">
      <c r="J100" s="270"/>
      <c r="K100" s="172"/>
    </row>
    <row r="101" spans="10:11" x14ac:dyDescent="0.25">
      <c r="J101" s="270"/>
      <c r="K101" s="172"/>
    </row>
    <row r="102" spans="10:11" x14ac:dyDescent="0.25">
      <c r="J102" s="270"/>
      <c r="K102" s="172"/>
    </row>
    <row r="103" spans="10:11" x14ac:dyDescent="0.25">
      <c r="J103" s="270"/>
      <c r="K103" s="172"/>
    </row>
    <row r="104" spans="10:11" x14ac:dyDescent="0.25">
      <c r="J104" s="270"/>
      <c r="K104" s="172"/>
    </row>
    <row r="105" spans="10:11" x14ac:dyDescent="0.25">
      <c r="J105" s="270"/>
      <c r="K105" s="172"/>
    </row>
    <row r="106" spans="10:11" x14ac:dyDescent="0.25">
      <c r="J106" s="270"/>
      <c r="K106" s="172"/>
    </row>
    <row r="107" spans="10:11" x14ac:dyDescent="0.25">
      <c r="J107" s="270"/>
      <c r="K107" s="172"/>
    </row>
    <row r="108" spans="10:11" x14ac:dyDescent="0.25">
      <c r="J108" s="270"/>
      <c r="K108" s="172"/>
    </row>
    <row r="109" spans="10:11" x14ac:dyDescent="0.25">
      <c r="J109" s="270"/>
      <c r="K109" s="172"/>
    </row>
    <row r="110" spans="10:11" x14ac:dyDescent="0.25">
      <c r="J110" s="270"/>
      <c r="K110" s="172"/>
    </row>
    <row r="111" spans="10:11" x14ac:dyDescent="0.25">
      <c r="J111" s="270"/>
      <c r="K111" s="172"/>
    </row>
    <row r="112" spans="10:11" x14ac:dyDescent="0.25">
      <c r="J112" s="270"/>
      <c r="K112" s="172"/>
    </row>
    <row r="113" spans="10:11" x14ac:dyDescent="0.25">
      <c r="J113" s="270"/>
      <c r="K113" s="172"/>
    </row>
    <row r="114" spans="10:11" x14ac:dyDescent="0.25">
      <c r="J114" s="270"/>
      <c r="K114" s="172"/>
    </row>
    <row r="115" spans="10:11" x14ac:dyDescent="0.25">
      <c r="J115" s="270"/>
      <c r="K115" s="172"/>
    </row>
    <row r="116" spans="10:11" x14ac:dyDescent="0.25">
      <c r="J116" s="270"/>
      <c r="K116" s="172"/>
    </row>
    <row r="117" spans="10:11" x14ac:dyDescent="0.25">
      <c r="J117" s="270"/>
      <c r="K117" s="172"/>
    </row>
    <row r="118" spans="10:11" x14ac:dyDescent="0.25">
      <c r="J118" s="270"/>
      <c r="K118" s="172"/>
    </row>
  </sheetData>
  <pageMargins left="0.7" right="0.7" top="0.75" bottom="0.75" header="0.3" footer="0.3"/>
  <pageSetup scale="92" firstPageNumber="6" orientation="portrait" r:id="rId1"/>
  <headerFooter>
    <oddFooter>&amp;C&amp;"Arial,Regular"&amp;10-7-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15"/>
  <sheetViews>
    <sheetView zoomScaleNormal="100" workbookViewId="0">
      <selection activeCell="D5" sqref="D5"/>
    </sheetView>
  </sheetViews>
  <sheetFormatPr defaultColWidth="9.140625" defaultRowHeight="15" x14ac:dyDescent="0.25"/>
  <cols>
    <col min="1" max="1" width="5.85546875" style="337" customWidth="1"/>
    <col min="2" max="2" width="5.5703125" style="98" customWidth="1"/>
    <col min="3" max="3" width="40.42578125" style="20" customWidth="1"/>
    <col min="4" max="4" width="15.5703125" style="29" customWidth="1"/>
    <col min="5" max="5" width="2" style="20" customWidth="1"/>
    <col min="6" max="6" width="14.5703125" style="29" customWidth="1"/>
    <col min="7" max="7" width="2.7109375" style="29" customWidth="1"/>
    <col min="8" max="8" width="14.5703125" style="29" hidden="1" customWidth="1"/>
    <col min="9" max="9" width="2.7109375" style="29" hidden="1" customWidth="1"/>
    <col min="10" max="10" width="14" style="29" customWidth="1"/>
    <col min="11" max="16384" width="9.140625" style="20"/>
  </cols>
  <sheetData>
    <row r="1" spans="1:11" x14ac:dyDescent="0.25">
      <c r="C1" s="361" t="s">
        <v>0</v>
      </c>
      <c r="D1" s="361"/>
      <c r="E1" s="361"/>
      <c r="F1" s="361"/>
      <c r="G1" s="361"/>
      <c r="H1" s="361"/>
      <c r="I1" s="361"/>
      <c r="J1" s="361"/>
      <c r="K1" s="5"/>
    </row>
    <row r="2" spans="1:11" x14ac:dyDescent="0.25">
      <c r="C2" s="361" t="s">
        <v>109</v>
      </c>
      <c r="D2" s="361"/>
      <c r="E2" s="361"/>
      <c r="F2" s="361"/>
      <c r="G2" s="361"/>
      <c r="H2" s="361"/>
      <c r="I2" s="361"/>
      <c r="J2" s="361"/>
      <c r="K2" s="5"/>
    </row>
    <row r="3" spans="1:11" x14ac:dyDescent="0.25">
      <c r="C3" s="361"/>
      <c r="D3" s="361"/>
      <c r="E3" s="361"/>
      <c r="F3" s="361"/>
      <c r="G3" s="361"/>
      <c r="H3" s="361"/>
      <c r="I3" s="361"/>
      <c r="J3" s="361"/>
      <c r="K3" s="5"/>
    </row>
    <row r="4" spans="1:11" x14ac:dyDescent="0.25">
      <c r="C4" s="9"/>
      <c r="D4" s="51" t="s">
        <v>1</v>
      </c>
      <c r="E4" s="5"/>
      <c r="F4" s="51"/>
      <c r="G4" s="10"/>
      <c r="H4" s="51" t="s">
        <v>44</v>
      </c>
      <c r="I4" s="11"/>
      <c r="J4" s="45" t="s">
        <v>208</v>
      </c>
      <c r="K4" s="5"/>
    </row>
    <row r="5" spans="1:11" x14ac:dyDescent="0.25">
      <c r="C5" s="9"/>
      <c r="D5" s="51" t="s">
        <v>45</v>
      </c>
      <c r="E5" s="11"/>
      <c r="F5" s="51" t="s">
        <v>154</v>
      </c>
      <c r="G5" s="10"/>
      <c r="H5" s="66" t="s">
        <v>45</v>
      </c>
      <c r="I5" s="47"/>
      <c r="J5" s="51" t="s">
        <v>2</v>
      </c>
      <c r="K5" s="5"/>
    </row>
    <row r="6" spans="1:11" x14ac:dyDescent="0.25">
      <c r="C6" s="5"/>
      <c r="D6" s="53" t="s">
        <v>174</v>
      </c>
      <c r="E6" s="12"/>
      <c r="F6" s="53" t="s">
        <v>212</v>
      </c>
      <c r="G6" s="39"/>
      <c r="H6" s="53" t="s">
        <v>164</v>
      </c>
      <c r="I6" s="47"/>
      <c r="J6" s="53" t="s">
        <v>221</v>
      </c>
      <c r="K6" s="5"/>
    </row>
    <row r="7" spans="1:11" x14ac:dyDescent="0.25">
      <c r="A7" s="337" t="s">
        <v>238</v>
      </c>
      <c r="B7" s="2" t="s">
        <v>3</v>
      </c>
      <c r="C7" s="98"/>
      <c r="D7" s="7"/>
      <c r="E7" s="6"/>
      <c r="F7" s="7"/>
      <c r="G7" s="7"/>
      <c r="H7" s="7"/>
      <c r="I7" s="47"/>
      <c r="J7" s="7"/>
      <c r="K7" s="5"/>
    </row>
    <row r="8" spans="1:11" x14ac:dyDescent="0.25">
      <c r="A8" s="337">
        <v>1</v>
      </c>
      <c r="B8" s="2" t="s">
        <v>116</v>
      </c>
      <c r="C8" s="98"/>
      <c r="D8" s="7"/>
      <c r="E8" s="6"/>
      <c r="F8" s="7"/>
      <c r="G8" s="7"/>
      <c r="H8" s="7"/>
      <c r="I8" s="47"/>
      <c r="J8" s="7"/>
      <c r="K8" s="5"/>
    </row>
    <row r="9" spans="1:11" x14ac:dyDescent="0.25">
      <c r="A9" s="337">
        <v>2</v>
      </c>
      <c r="B9" s="283">
        <v>5751</v>
      </c>
      <c r="C9" s="13" t="s">
        <v>110</v>
      </c>
      <c r="D9" s="48">
        <v>10807959</v>
      </c>
      <c r="E9" s="48"/>
      <c r="F9" s="48">
        <v>11261075</v>
      </c>
      <c r="G9" s="48"/>
      <c r="H9" s="48">
        <v>10100000</v>
      </c>
      <c r="I9" s="48"/>
      <c r="J9" s="48">
        <v>10774753</v>
      </c>
      <c r="K9" s="58"/>
    </row>
    <row r="10" spans="1:11" x14ac:dyDescent="0.25">
      <c r="A10" s="337">
        <v>3</v>
      </c>
      <c r="C10" s="13" t="s">
        <v>111</v>
      </c>
      <c r="D10" s="350">
        <v>148703</v>
      </c>
      <c r="E10" s="343"/>
      <c r="F10" s="350">
        <v>116097</v>
      </c>
      <c r="G10" s="350"/>
      <c r="H10" s="350">
        <v>7843</v>
      </c>
      <c r="I10" s="343"/>
      <c r="J10" s="350">
        <v>117453</v>
      </c>
      <c r="K10" s="58"/>
    </row>
    <row r="11" spans="1:11" x14ac:dyDescent="0.25">
      <c r="C11" s="13"/>
      <c r="D11" s="350"/>
      <c r="E11" s="343"/>
      <c r="F11" s="350"/>
      <c r="G11" s="350"/>
      <c r="H11" s="350"/>
      <c r="I11" s="343"/>
      <c r="J11" s="350"/>
      <c r="K11" s="58"/>
    </row>
    <row r="12" spans="1:11" x14ac:dyDescent="0.25">
      <c r="A12" s="337">
        <v>4</v>
      </c>
      <c r="C12" s="13" t="s">
        <v>114</v>
      </c>
      <c r="D12" s="351">
        <f>SUM(D9:D11)</f>
        <v>10956662</v>
      </c>
      <c r="E12" s="343"/>
      <c r="F12" s="351">
        <f>SUM(F9:F11)</f>
        <v>11377172</v>
      </c>
      <c r="G12" s="350"/>
      <c r="H12" s="351">
        <f>SUM(H9:H11)</f>
        <v>10107843</v>
      </c>
      <c r="I12" s="343"/>
      <c r="J12" s="351">
        <f>SUM(J9:J11)</f>
        <v>10892206</v>
      </c>
      <c r="K12" s="58"/>
    </row>
    <row r="13" spans="1:11" x14ac:dyDescent="0.25">
      <c r="C13" s="13"/>
      <c r="D13" s="350"/>
      <c r="E13" s="343"/>
      <c r="F13" s="350"/>
      <c r="G13" s="350"/>
      <c r="H13" s="350"/>
      <c r="I13" s="343"/>
      <c r="J13" s="350"/>
      <c r="K13" s="58"/>
    </row>
    <row r="14" spans="1:11" x14ac:dyDescent="0.25">
      <c r="A14" s="337">
        <v>5</v>
      </c>
      <c r="B14" s="160" t="s">
        <v>117</v>
      </c>
      <c r="C14" s="13"/>
      <c r="D14" s="350"/>
      <c r="E14" s="343"/>
      <c r="F14" s="350"/>
      <c r="G14" s="350"/>
      <c r="H14" s="350"/>
      <c r="I14" s="343"/>
      <c r="J14" s="350"/>
      <c r="K14" s="58"/>
    </row>
    <row r="15" spans="1:11" x14ac:dyDescent="0.25">
      <c r="A15" s="337">
        <v>6</v>
      </c>
      <c r="B15" s="283">
        <v>5829</v>
      </c>
      <c r="C15" s="13" t="s">
        <v>112</v>
      </c>
      <c r="D15" s="350">
        <v>111067</v>
      </c>
      <c r="E15" s="343"/>
      <c r="F15" s="350">
        <v>113089</v>
      </c>
      <c r="G15" s="350"/>
      <c r="H15" s="350">
        <v>109688</v>
      </c>
      <c r="I15" s="343"/>
      <c r="J15" s="350">
        <v>111067</v>
      </c>
      <c r="K15" s="58"/>
    </row>
    <row r="16" spans="1:11" x14ac:dyDescent="0.25">
      <c r="A16" s="337">
        <v>7</v>
      </c>
      <c r="B16" s="283">
        <v>5831</v>
      </c>
      <c r="C16" s="13" t="s">
        <v>113</v>
      </c>
      <c r="D16" s="352">
        <v>0</v>
      </c>
      <c r="E16" s="343"/>
      <c r="F16" s="352">
        <v>0</v>
      </c>
      <c r="G16" s="352"/>
      <c r="H16" s="350">
        <v>0</v>
      </c>
      <c r="I16" s="343"/>
      <c r="J16" s="352">
        <v>0</v>
      </c>
      <c r="K16" s="58"/>
    </row>
    <row r="17" spans="1:14" x14ac:dyDescent="0.25">
      <c r="C17" s="13"/>
      <c r="D17" s="352"/>
      <c r="E17" s="343"/>
      <c r="F17" s="352"/>
      <c r="G17" s="352"/>
      <c r="H17" s="352"/>
      <c r="I17" s="343"/>
      <c r="J17" s="352"/>
      <c r="K17" s="58"/>
    </row>
    <row r="18" spans="1:14" x14ac:dyDescent="0.25">
      <c r="A18" s="337">
        <v>8</v>
      </c>
      <c r="C18" s="13" t="s">
        <v>115</v>
      </c>
      <c r="D18" s="353">
        <f>SUM(D15:D17)</f>
        <v>111067</v>
      </c>
      <c r="E18" s="343"/>
      <c r="F18" s="353">
        <f>SUM(F15:F17)</f>
        <v>113089</v>
      </c>
      <c r="G18" s="352"/>
      <c r="H18" s="353">
        <f>SUM(H15:H17)</f>
        <v>109688</v>
      </c>
      <c r="I18" s="343"/>
      <c r="J18" s="353">
        <f>SUM(J15:J17)</f>
        <v>111067</v>
      </c>
      <c r="K18" s="58"/>
    </row>
    <row r="19" spans="1:14" x14ac:dyDescent="0.25">
      <c r="C19" s="13"/>
      <c r="D19" s="352"/>
      <c r="E19" s="343"/>
      <c r="F19" s="352"/>
      <c r="G19" s="352"/>
      <c r="H19" s="352"/>
      <c r="I19" s="343"/>
      <c r="J19" s="352"/>
      <c r="K19" s="58"/>
    </row>
    <row r="20" spans="1:14" x14ac:dyDescent="0.25">
      <c r="A20" s="337">
        <v>9</v>
      </c>
      <c r="B20" s="40" t="s">
        <v>152</v>
      </c>
      <c r="C20" s="13"/>
      <c r="D20" s="352"/>
      <c r="E20" s="343"/>
      <c r="F20" s="352"/>
      <c r="G20" s="352"/>
      <c r="H20" s="352"/>
      <c r="I20" s="343"/>
      <c r="J20" s="352"/>
      <c r="K20" s="58"/>
    </row>
    <row r="21" spans="1:14" x14ac:dyDescent="0.25">
      <c r="A21" s="337">
        <v>10</v>
      </c>
      <c r="B21" s="46">
        <v>5921</v>
      </c>
      <c r="C21" s="13" t="s">
        <v>118</v>
      </c>
      <c r="D21" s="352">
        <v>2876977</v>
      </c>
      <c r="E21" s="343"/>
      <c r="F21" s="352">
        <v>2776590</v>
      </c>
      <c r="G21" s="352"/>
      <c r="H21" s="352">
        <v>2725036</v>
      </c>
      <c r="I21" s="343"/>
      <c r="J21" s="352">
        <v>2582101</v>
      </c>
      <c r="K21" s="58"/>
    </row>
    <row r="22" spans="1:14" x14ac:dyDescent="0.25">
      <c r="A22" s="337">
        <v>11</v>
      </c>
      <c r="B22" s="46">
        <v>5922</v>
      </c>
      <c r="C22" s="13" t="s">
        <v>119</v>
      </c>
      <c r="D22" s="352">
        <v>9143243</v>
      </c>
      <c r="E22" s="343"/>
      <c r="F22" s="352">
        <v>9294080</v>
      </c>
      <c r="G22" s="352"/>
      <c r="H22" s="352">
        <v>8374075</v>
      </c>
      <c r="I22" s="343"/>
      <c r="J22" s="352">
        <v>9009744</v>
      </c>
      <c r="K22" s="58"/>
    </row>
    <row r="23" spans="1:14" x14ac:dyDescent="0.25">
      <c r="A23" s="337">
        <v>12</v>
      </c>
      <c r="B23" s="46">
        <v>5923</v>
      </c>
      <c r="C23" s="13" t="s">
        <v>120</v>
      </c>
      <c r="D23" s="352">
        <v>1311143</v>
      </c>
      <c r="E23" s="343"/>
      <c r="F23" s="352">
        <v>1388669</v>
      </c>
      <c r="G23" s="352"/>
      <c r="H23" s="352">
        <v>1016966</v>
      </c>
      <c r="I23" s="343"/>
      <c r="J23" s="352">
        <v>1668523</v>
      </c>
      <c r="K23" s="58"/>
    </row>
    <row r="24" spans="1:14" x14ac:dyDescent="0.25">
      <c r="A24" s="337">
        <v>13</v>
      </c>
      <c r="B24" s="46">
        <v>5939</v>
      </c>
      <c r="C24" s="46" t="s">
        <v>177</v>
      </c>
      <c r="D24" s="352">
        <v>403697</v>
      </c>
      <c r="E24" s="343"/>
      <c r="F24" s="352">
        <v>374737</v>
      </c>
      <c r="G24" s="352"/>
      <c r="H24" s="352"/>
      <c r="I24" s="343"/>
      <c r="J24" s="352">
        <v>873611</v>
      </c>
      <c r="K24" s="58"/>
    </row>
    <row r="25" spans="1:14" x14ac:dyDescent="0.25">
      <c r="A25" s="337">
        <v>14</v>
      </c>
      <c r="B25" s="40"/>
      <c r="C25" s="13" t="s">
        <v>121</v>
      </c>
      <c r="D25" s="353">
        <f>SUM(D21:D24)</f>
        <v>13735060</v>
      </c>
      <c r="E25" s="343"/>
      <c r="F25" s="353">
        <f>SUM(F21:F24)</f>
        <v>13834076</v>
      </c>
      <c r="G25" s="352"/>
      <c r="H25" s="353">
        <f>SUM(H21:H24)</f>
        <v>12116077</v>
      </c>
      <c r="I25" s="343"/>
      <c r="J25" s="353">
        <f>SUM(J21:J24)</f>
        <v>14133979</v>
      </c>
      <c r="K25" s="58"/>
    </row>
    <row r="26" spans="1:14" x14ac:dyDescent="0.25">
      <c r="C26" s="98"/>
      <c r="D26" s="343"/>
      <c r="E26" s="343"/>
      <c r="F26" s="352"/>
      <c r="G26" s="343"/>
      <c r="H26" s="343"/>
      <c r="I26" s="343"/>
      <c r="J26" s="352"/>
      <c r="K26" s="58"/>
    </row>
    <row r="27" spans="1:14" x14ac:dyDescent="0.25">
      <c r="A27" s="337">
        <v>15</v>
      </c>
      <c r="C27" s="40" t="s">
        <v>191</v>
      </c>
      <c r="D27" s="342">
        <f>+D25+D18+D12</f>
        <v>24802789</v>
      </c>
      <c r="E27" s="343"/>
      <c r="F27" s="342">
        <f>+F25+F18+F12</f>
        <v>25324337</v>
      </c>
      <c r="G27" s="343"/>
      <c r="H27" s="342">
        <f>+H25+H18+H12</f>
        <v>22333608</v>
      </c>
      <c r="I27" s="343"/>
      <c r="J27" s="342">
        <f>+J25+J18+J12</f>
        <v>25137252</v>
      </c>
      <c r="K27" s="58"/>
    </row>
    <row r="28" spans="1:14" x14ac:dyDescent="0.25">
      <c r="C28" s="5"/>
      <c r="D28" s="343"/>
      <c r="E28" s="343"/>
      <c r="F28" s="343"/>
      <c r="G28" s="343"/>
      <c r="H28" s="343"/>
      <c r="I28" s="343"/>
      <c r="J28" s="343"/>
      <c r="K28" s="58"/>
    </row>
    <row r="29" spans="1:14" x14ac:dyDescent="0.25">
      <c r="A29" s="337">
        <v>16</v>
      </c>
      <c r="B29" s="2" t="s">
        <v>4</v>
      </c>
      <c r="D29" s="343"/>
      <c r="E29" s="343"/>
      <c r="F29" s="343"/>
      <c r="G29" s="343"/>
      <c r="H29" s="343"/>
      <c r="I29" s="343"/>
      <c r="J29" s="343"/>
      <c r="K29" s="58"/>
      <c r="N29" s="79"/>
    </row>
    <row r="30" spans="1:14" x14ac:dyDescent="0.25">
      <c r="A30" s="337">
        <v>17</v>
      </c>
      <c r="C30" s="46" t="s">
        <v>122</v>
      </c>
      <c r="D30" s="350">
        <v>8774628</v>
      </c>
      <c r="E30" s="350"/>
      <c r="F30" s="350">
        <v>9571988</v>
      </c>
      <c r="G30" s="350"/>
      <c r="H30" s="350">
        <v>9764384</v>
      </c>
      <c r="I30" s="350"/>
      <c r="J30" s="350">
        <v>9352616</v>
      </c>
      <c r="K30" s="331"/>
      <c r="N30" s="80"/>
    </row>
    <row r="31" spans="1:14" x14ac:dyDescent="0.25">
      <c r="A31" s="337">
        <v>18</v>
      </c>
      <c r="C31" s="13" t="s">
        <v>123</v>
      </c>
      <c r="D31" s="350">
        <f>1070187+2689363</f>
        <v>3759550</v>
      </c>
      <c r="E31" s="350"/>
      <c r="F31" s="350">
        <v>4132542</v>
      </c>
      <c r="G31" s="350"/>
      <c r="H31" s="350">
        <v>3709491</v>
      </c>
      <c r="I31" s="350"/>
      <c r="J31" s="350">
        <v>4226639</v>
      </c>
      <c r="K31" s="331"/>
    </row>
    <row r="32" spans="1:14" x14ac:dyDescent="0.25">
      <c r="A32" s="337">
        <v>19</v>
      </c>
      <c r="C32" s="13" t="s">
        <v>124</v>
      </c>
      <c r="D32" s="350">
        <v>10061231</v>
      </c>
      <c r="E32" s="350"/>
      <c r="F32" s="350">
        <v>11149449</v>
      </c>
      <c r="G32" s="350"/>
      <c r="H32" s="350">
        <v>8582597</v>
      </c>
      <c r="I32" s="350"/>
      <c r="J32" s="350">
        <v>10946050</v>
      </c>
      <c r="K32" s="331"/>
    </row>
    <row r="33" spans="1:12" x14ac:dyDescent="0.25">
      <c r="A33" s="337">
        <v>20</v>
      </c>
      <c r="C33" s="13" t="s">
        <v>125</v>
      </c>
      <c r="D33" s="350">
        <v>178244</v>
      </c>
      <c r="E33" s="350"/>
      <c r="F33" s="350">
        <v>120858</v>
      </c>
      <c r="G33" s="350"/>
      <c r="H33" s="350">
        <v>157252</v>
      </c>
      <c r="I33" s="350"/>
      <c r="J33" s="350">
        <v>189299</v>
      </c>
      <c r="K33" s="331"/>
    </row>
    <row r="34" spans="1:12" x14ac:dyDescent="0.25">
      <c r="A34" s="337">
        <v>21</v>
      </c>
      <c r="C34" s="13" t="s">
        <v>108</v>
      </c>
      <c r="D34" s="350">
        <v>239987</v>
      </c>
      <c r="E34" s="350"/>
      <c r="F34" s="350">
        <v>349500</v>
      </c>
      <c r="G34" s="350"/>
      <c r="H34" s="350">
        <v>0</v>
      </c>
      <c r="I34" s="350"/>
      <c r="J34" s="350">
        <v>454500</v>
      </c>
      <c r="K34" s="331"/>
    </row>
    <row r="35" spans="1:12" x14ac:dyDescent="0.25">
      <c r="A35" s="337">
        <v>22</v>
      </c>
      <c r="C35" s="2" t="s">
        <v>25</v>
      </c>
      <c r="D35" s="351">
        <f>SUM(D30:D34)</f>
        <v>23013640</v>
      </c>
      <c r="E35" s="354"/>
      <c r="F35" s="351">
        <f>SUM(F30:F34)</f>
        <v>25324337</v>
      </c>
      <c r="G35" s="354"/>
      <c r="H35" s="351">
        <f>SUM(H30:H34)</f>
        <v>22213724</v>
      </c>
      <c r="I35" s="350"/>
      <c r="J35" s="351">
        <f>SUM(J30:J34)</f>
        <v>25169104</v>
      </c>
      <c r="K35" s="331"/>
      <c r="L35" s="1"/>
    </row>
    <row r="36" spans="1:12" x14ac:dyDescent="0.25">
      <c r="C36" s="5"/>
      <c r="D36" s="343"/>
      <c r="E36" s="343"/>
      <c r="F36" s="343"/>
      <c r="G36" s="343"/>
      <c r="H36" s="343"/>
      <c r="I36" s="343"/>
      <c r="J36" s="343"/>
      <c r="K36" s="58"/>
      <c r="L36" s="1"/>
    </row>
    <row r="37" spans="1:12" x14ac:dyDescent="0.25">
      <c r="C37" s="5"/>
      <c r="D37" s="343"/>
      <c r="E37" s="343"/>
      <c r="F37" s="343"/>
      <c r="G37" s="343"/>
      <c r="H37" s="343"/>
      <c r="I37" s="343"/>
      <c r="J37" s="343"/>
      <c r="K37" s="5"/>
      <c r="L37" s="1"/>
    </row>
    <row r="38" spans="1:12" x14ac:dyDescent="0.25">
      <c r="A38" s="337">
        <v>23</v>
      </c>
      <c r="C38" s="2" t="s">
        <v>175</v>
      </c>
      <c r="D38" s="343"/>
      <c r="E38" s="343"/>
      <c r="F38" s="343"/>
      <c r="G38" s="343"/>
      <c r="H38" s="343"/>
      <c r="I38" s="343"/>
      <c r="J38" s="343"/>
      <c r="K38" s="5"/>
      <c r="L38" s="1"/>
    </row>
    <row r="39" spans="1:12" x14ac:dyDescent="0.25">
      <c r="A39" s="337">
        <v>24</v>
      </c>
      <c r="C39" s="2" t="s">
        <v>176</v>
      </c>
      <c r="D39" s="342">
        <f>+D27-D35</f>
        <v>1789149</v>
      </c>
      <c r="E39" s="343"/>
      <c r="F39" s="342">
        <f>+F27-F35</f>
        <v>0</v>
      </c>
      <c r="G39" s="343"/>
      <c r="H39" s="342">
        <f>+H27-H35</f>
        <v>119884</v>
      </c>
      <c r="I39" s="343"/>
      <c r="J39" s="342">
        <f>+J27-J35</f>
        <v>-31852</v>
      </c>
      <c r="K39" s="5"/>
      <c r="L39" s="1"/>
    </row>
    <row r="40" spans="1:12" x14ac:dyDescent="0.25">
      <c r="C40" s="2"/>
      <c r="D40" s="343"/>
      <c r="E40" s="343"/>
      <c r="F40" s="343"/>
      <c r="G40" s="343"/>
      <c r="H40" s="343"/>
      <c r="I40" s="343"/>
      <c r="J40" s="343"/>
      <c r="K40" s="5"/>
      <c r="L40" s="1"/>
    </row>
    <row r="41" spans="1:12" x14ac:dyDescent="0.25">
      <c r="A41" s="337">
        <v>25</v>
      </c>
      <c r="C41" s="2" t="s">
        <v>188</v>
      </c>
      <c r="D41" s="343"/>
      <c r="E41" s="343"/>
      <c r="F41" s="343"/>
      <c r="G41" s="343"/>
      <c r="H41" s="343"/>
      <c r="I41" s="343"/>
      <c r="J41" s="343"/>
      <c r="K41" s="5"/>
      <c r="L41" s="1"/>
    </row>
    <row r="42" spans="1:12" x14ac:dyDescent="0.25">
      <c r="A42" s="337">
        <v>26</v>
      </c>
      <c r="C42" s="5" t="s">
        <v>29</v>
      </c>
      <c r="D42" s="343">
        <v>11122</v>
      </c>
      <c r="E42" s="343"/>
      <c r="F42" s="343">
        <v>0</v>
      </c>
      <c r="G42" s="343"/>
      <c r="H42" s="343">
        <v>0</v>
      </c>
      <c r="I42" s="343"/>
      <c r="J42" s="343">
        <v>0</v>
      </c>
      <c r="K42" s="5"/>
      <c r="L42" s="1"/>
    </row>
    <row r="43" spans="1:12" x14ac:dyDescent="0.25">
      <c r="A43" s="337">
        <v>27</v>
      </c>
      <c r="C43" s="5" t="s">
        <v>30</v>
      </c>
      <c r="D43" s="343">
        <v>0</v>
      </c>
      <c r="E43" s="343"/>
      <c r="F43" s="343">
        <v>0</v>
      </c>
      <c r="G43" s="343"/>
      <c r="H43" s="343">
        <v>0</v>
      </c>
      <c r="I43" s="343"/>
      <c r="J43" s="343">
        <v>0</v>
      </c>
      <c r="K43" s="5"/>
      <c r="L43" s="1"/>
    </row>
    <row r="44" spans="1:12" x14ac:dyDescent="0.25">
      <c r="A44" s="337">
        <v>28</v>
      </c>
      <c r="C44" s="16" t="s">
        <v>31</v>
      </c>
      <c r="D44" s="345">
        <f>SUM(D42:D43)</f>
        <v>11122</v>
      </c>
      <c r="E44" s="343"/>
      <c r="F44" s="345">
        <f>SUM(F42:F43)</f>
        <v>0</v>
      </c>
      <c r="G44" s="343"/>
      <c r="H44" s="345">
        <f>SUM(H42:H43)</f>
        <v>0</v>
      </c>
      <c r="I44" s="343"/>
      <c r="J44" s="345">
        <f>SUM(J42:J43)</f>
        <v>0</v>
      </c>
      <c r="K44" s="5"/>
      <c r="L44" s="1"/>
    </row>
    <row r="45" spans="1:12" x14ac:dyDescent="0.25">
      <c r="C45" s="5"/>
      <c r="D45" s="343"/>
      <c r="E45" s="343"/>
      <c r="F45" s="343"/>
      <c r="G45" s="343"/>
      <c r="H45" s="343"/>
      <c r="I45" s="343"/>
      <c r="J45" s="343"/>
      <c r="K45" s="5"/>
    </row>
    <row r="46" spans="1:12" x14ac:dyDescent="0.25">
      <c r="A46" s="337">
        <v>29</v>
      </c>
      <c r="C46" s="2" t="s">
        <v>204</v>
      </c>
      <c r="D46" s="343"/>
      <c r="E46" s="343"/>
      <c r="F46" s="343"/>
      <c r="G46" s="343"/>
      <c r="H46" s="343"/>
      <c r="I46" s="343"/>
      <c r="J46" s="343"/>
      <c r="K46" s="5"/>
    </row>
    <row r="47" spans="1:12" x14ac:dyDescent="0.25">
      <c r="A47" s="337">
        <v>30</v>
      </c>
      <c r="C47" s="2" t="s">
        <v>32</v>
      </c>
      <c r="D47" s="343"/>
      <c r="E47" s="343"/>
      <c r="F47" s="343"/>
      <c r="G47" s="343"/>
      <c r="H47" s="343"/>
      <c r="I47" s="343"/>
      <c r="J47" s="343"/>
      <c r="K47" s="5"/>
    </row>
    <row r="48" spans="1:12" ht="15.75" thickBot="1" x14ac:dyDescent="0.3">
      <c r="A48" s="337">
        <v>31</v>
      </c>
      <c r="C48" s="2" t="s">
        <v>33</v>
      </c>
      <c r="D48" s="347">
        <f>+D39+D44</f>
        <v>1800271</v>
      </c>
      <c r="E48" s="348"/>
      <c r="F48" s="347">
        <f>+F39+F44</f>
        <v>0</v>
      </c>
      <c r="G48" s="348"/>
      <c r="H48" s="348">
        <f>+H39+H44</f>
        <v>119884</v>
      </c>
      <c r="I48" s="349"/>
      <c r="J48" s="347">
        <f>+J39+J44</f>
        <v>-31852</v>
      </c>
      <c r="K48" s="5"/>
    </row>
    <row r="49" spans="3:11" ht="15.75" thickTop="1" x14ac:dyDescent="0.25">
      <c r="C49" s="5"/>
      <c r="D49" s="14"/>
      <c r="E49" s="14"/>
      <c r="F49" s="14"/>
      <c r="G49" s="14"/>
      <c r="H49" s="14"/>
      <c r="I49" s="47"/>
      <c r="J49" s="14"/>
      <c r="K49" s="5"/>
    </row>
    <row r="50" spans="3:11" hidden="1" x14ac:dyDescent="0.25">
      <c r="C50" s="13" t="s">
        <v>34</v>
      </c>
      <c r="D50" s="30">
        <v>2495643</v>
      </c>
      <c r="E50" s="15"/>
      <c r="F50" s="14">
        <f>+D51</f>
        <v>4295914</v>
      </c>
      <c r="G50" s="14"/>
      <c r="H50" s="14">
        <f>+D51</f>
        <v>4295914</v>
      </c>
      <c r="I50" s="47"/>
      <c r="J50" s="14">
        <f>+F51</f>
        <v>4295914</v>
      </c>
      <c r="K50" s="5"/>
    </row>
    <row r="51" spans="3:11" ht="15.75" hidden="1" thickBot="1" x14ac:dyDescent="0.3">
      <c r="C51" s="2" t="s">
        <v>35</v>
      </c>
      <c r="D51" s="43">
        <f>SUM(D48:D50)</f>
        <v>4295914</v>
      </c>
      <c r="E51" s="17"/>
      <c r="F51" s="43">
        <f>SUM(F48:F50)</f>
        <v>4295914</v>
      </c>
      <c r="G51" s="17"/>
      <c r="H51" s="43">
        <f>SUM(H48:H50)</f>
        <v>4415798</v>
      </c>
      <c r="I51" s="47"/>
      <c r="J51" s="43">
        <f>SUM(J48:J50)</f>
        <v>4264062</v>
      </c>
      <c r="K51" s="5"/>
    </row>
    <row r="52" spans="3:11" hidden="1" x14ac:dyDescent="0.25">
      <c r="C52" s="5"/>
      <c r="D52" s="7"/>
      <c r="E52" s="6"/>
      <c r="F52" s="7"/>
      <c r="G52" s="7"/>
      <c r="H52" s="7"/>
      <c r="I52" s="47"/>
      <c r="J52" s="7"/>
      <c r="K52" s="5"/>
    </row>
    <row r="53" spans="3:11" x14ac:dyDescent="0.25">
      <c r="E53" s="29"/>
      <c r="J53" s="4"/>
      <c r="K53" s="29"/>
    </row>
    <row r="54" spans="3:11" x14ac:dyDescent="0.25">
      <c r="E54" s="29"/>
      <c r="J54" s="4"/>
      <c r="K54" s="29"/>
    </row>
    <row r="55" spans="3:11" x14ac:dyDescent="0.25">
      <c r="E55" s="29"/>
      <c r="J55" s="4"/>
      <c r="K55" s="29"/>
    </row>
    <row r="56" spans="3:11" x14ac:dyDescent="0.25">
      <c r="E56" s="29"/>
      <c r="J56" s="4"/>
      <c r="K56" s="29"/>
    </row>
    <row r="57" spans="3:11" x14ac:dyDescent="0.25">
      <c r="E57" s="29"/>
      <c r="J57" s="4"/>
      <c r="K57" s="29"/>
    </row>
    <row r="58" spans="3:11" x14ac:dyDescent="0.25">
      <c r="E58" s="29"/>
      <c r="J58" s="4"/>
      <c r="K58" s="29"/>
    </row>
    <row r="59" spans="3:11" x14ac:dyDescent="0.25">
      <c r="E59" s="29"/>
      <c r="K59" s="29"/>
    </row>
    <row r="60" spans="3:11" x14ac:dyDescent="0.25">
      <c r="E60" s="29"/>
      <c r="K60" s="29"/>
    </row>
    <row r="61" spans="3:11" x14ac:dyDescent="0.25">
      <c r="E61" s="29"/>
      <c r="K61" s="29"/>
    </row>
    <row r="62" spans="3:11" x14ac:dyDescent="0.25">
      <c r="E62" s="29"/>
      <c r="K62" s="29"/>
    </row>
    <row r="63" spans="3:11" x14ac:dyDescent="0.25">
      <c r="E63" s="29"/>
      <c r="K63" s="29"/>
    </row>
    <row r="64" spans="3:11" x14ac:dyDescent="0.25">
      <c r="E64" s="29"/>
      <c r="K64" s="29"/>
    </row>
    <row r="65" spans="5:12" x14ac:dyDescent="0.25">
      <c r="E65" s="29"/>
      <c r="K65" s="29"/>
    </row>
    <row r="66" spans="5:12" x14ac:dyDescent="0.25">
      <c r="E66" s="29"/>
      <c r="K66" s="29"/>
    </row>
    <row r="67" spans="5:12" x14ac:dyDescent="0.25">
      <c r="E67" s="29"/>
      <c r="K67" s="29"/>
    </row>
    <row r="68" spans="5:12" x14ac:dyDescent="0.25">
      <c r="E68" s="29"/>
      <c r="K68" s="29"/>
    </row>
    <row r="69" spans="5:12" x14ac:dyDescent="0.25">
      <c r="E69" s="29"/>
      <c r="K69" s="29"/>
    </row>
    <row r="70" spans="5:12" x14ac:dyDescent="0.25">
      <c r="E70" s="29"/>
      <c r="K70" s="29"/>
    </row>
    <row r="71" spans="5:12" x14ac:dyDescent="0.25">
      <c r="E71" s="29"/>
      <c r="K71" s="29"/>
    </row>
    <row r="72" spans="5:12" x14ac:dyDescent="0.25">
      <c r="E72" s="29"/>
      <c r="K72" s="29"/>
    </row>
    <row r="73" spans="5:12" x14ac:dyDescent="0.25">
      <c r="E73" s="29"/>
      <c r="K73" s="29"/>
    </row>
    <row r="74" spans="5:12" x14ac:dyDescent="0.25">
      <c r="E74" s="29"/>
      <c r="K74" s="29"/>
    </row>
    <row r="75" spans="5:12" x14ac:dyDescent="0.25">
      <c r="E75" s="29"/>
      <c r="K75" s="29"/>
    </row>
    <row r="76" spans="5:12" x14ac:dyDescent="0.25">
      <c r="E76" s="29"/>
      <c r="K76" s="29"/>
    </row>
    <row r="77" spans="5:12" x14ac:dyDescent="0.25">
      <c r="E77" s="29"/>
      <c r="K77" s="29"/>
      <c r="L77" s="20" t="str">
        <f>IF(D77=0,"n/a",(+J77-D77)/D77)</f>
        <v>n/a</v>
      </c>
    </row>
    <row r="78" spans="5:12" x14ac:dyDescent="0.25">
      <c r="E78" s="29"/>
      <c r="K78" s="29"/>
      <c r="L78" s="60" t="str">
        <f>IF(D78=0,"n/a",(+J78-D78)/D78)</f>
        <v>n/a</v>
      </c>
    </row>
    <row r="79" spans="5:12" x14ac:dyDescent="0.25">
      <c r="E79" s="29"/>
      <c r="K79" s="29"/>
    </row>
    <row r="80" spans="5:12" x14ac:dyDescent="0.25">
      <c r="E80" s="29"/>
      <c r="K80" s="29"/>
    </row>
    <row r="81" spans="5:11" x14ac:dyDescent="0.25">
      <c r="E81" s="29"/>
      <c r="K81" s="29"/>
    </row>
    <row r="82" spans="5:11" x14ac:dyDescent="0.25">
      <c r="E82" s="29"/>
      <c r="K82" s="29"/>
    </row>
    <row r="83" spans="5:11" x14ac:dyDescent="0.25">
      <c r="E83" s="29"/>
      <c r="K83" s="29"/>
    </row>
    <row r="84" spans="5:11" x14ac:dyDescent="0.25">
      <c r="E84" s="29"/>
      <c r="K84" s="29"/>
    </row>
    <row r="85" spans="5:11" x14ac:dyDescent="0.25">
      <c r="E85" s="29"/>
      <c r="K85" s="29"/>
    </row>
    <row r="86" spans="5:11" x14ac:dyDescent="0.25">
      <c r="E86" s="29"/>
      <c r="K86" s="29"/>
    </row>
    <row r="87" spans="5:11" x14ac:dyDescent="0.25">
      <c r="E87" s="29"/>
      <c r="K87" s="29"/>
    </row>
    <row r="88" spans="5:11" x14ac:dyDescent="0.25">
      <c r="E88" s="29"/>
      <c r="K88" s="29"/>
    </row>
    <row r="89" spans="5:11" x14ac:dyDescent="0.25">
      <c r="E89" s="29"/>
      <c r="K89" s="29"/>
    </row>
    <row r="90" spans="5:11" x14ac:dyDescent="0.25">
      <c r="E90" s="29"/>
      <c r="K90" s="29"/>
    </row>
    <row r="91" spans="5:11" x14ac:dyDescent="0.25">
      <c r="E91" s="29"/>
      <c r="K91" s="29"/>
    </row>
    <row r="92" spans="5:11" x14ac:dyDescent="0.25">
      <c r="E92" s="29"/>
      <c r="K92" s="29"/>
    </row>
    <row r="93" spans="5:11" x14ac:dyDescent="0.25">
      <c r="E93" s="29"/>
      <c r="K93" s="29"/>
    </row>
    <row r="94" spans="5:11" x14ac:dyDescent="0.25">
      <c r="E94" s="29"/>
      <c r="K94" s="29"/>
    </row>
    <row r="95" spans="5:11" x14ac:dyDescent="0.25">
      <c r="E95" s="29"/>
      <c r="K95" s="29"/>
    </row>
    <row r="96" spans="5:11" x14ac:dyDescent="0.25">
      <c r="E96" s="29"/>
      <c r="K96" s="29"/>
    </row>
    <row r="97" spans="5:11" x14ac:dyDescent="0.25">
      <c r="E97" s="29"/>
      <c r="K97" s="29"/>
    </row>
    <row r="98" spans="5:11" x14ac:dyDescent="0.25">
      <c r="E98" s="29"/>
      <c r="K98" s="29"/>
    </row>
    <row r="99" spans="5:11" x14ac:dyDescent="0.25">
      <c r="E99" s="29"/>
      <c r="K99" s="29"/>
    </row>
    <row r="100" spans="5:11" x14ac:dyDescent="0.25">
      <c r="E100" s="29"/>
      <c r="K100" s="29"/>
    </row>
    <row r="101" spans="5:11" x14ac:dyDescent="0.25">
      <c r="E101" s="29"/>
      <c r="K101" s="29"/>
    </row>
    <row r="102" spans="5:11" x14ac:dyDescent="0.25">
      <c r="E102" s="29"/>
      <c r="K102" s="29"/>
    </row>
    <row r="103" spans="5:11" x14ac:dyDescent="0.25">
      <c r="E103" s="29"/>
      <c r="K103" s="29"/>
    </row>
    <row r="104" spans="5:11" x14ac:dyDescent="0.25">
      <c r="E104" s="29"/>
      <c r="K104" s="29"/>
    </row>
    <row r="105" spans="5:11" x14ac:dyDescent="0.25">
      <c r="E105" s="29"/>
      <c r="K105" s="29"/>
    </row>
    <row r="115" spans="12:12" x14ac:dyDescent="0.25">
      <c r="L115" s="56" t="str">
        <f>IF(D115=0,"n/a",(+J115-D115)/D115)</f>
        <v>n/a</v>
      </c>
    </row>
  </sheetData>
  <mergeCells count="3">
    <mergeCell ref="C1:J1"/>
    <mergeCell ref="C2:J2"/>
    <mergeCell ref="C3:J3"/>
  </mergeCells>
  <pageMargins left="0.7" right="0.7" top="0.75" bottom="0.75" header="0.3" footer="0.3"/>
  <pageSetup scale="89" firstPageNumber="7" orientation="portrait" r:id="rId1"/>
  <headerFooter>
    <oddFooter>&amp;C&amp;"Arial,Regular"&amp;10-8-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1"/>
  <sheetViews>
    <sheetView zoomScaleNormal="100" workbookViewId="0">
      <selection activeCell="O22" sqref="O22"/>
    </sheetView>
  </sheetViews>
  <sheetFormatPr defaultColWidth="9.140625" defaultRowHeight="15" x14ac:dyDescent="0.25"/>
  <cols>
    <col min="1" max="1" width="5.85546875" style="337" customWidth="1"/>
    <col min="2" max="2" width="3.7109375" style="98" customWidth="1"/>
    <col min="3" max="3" width="40.42578125" style="98" customWidth="1"/>
    <col min="4" max="4" width="14" style="99" customWidth="1"/>
    <col min="5" max="5" width="2" style="99" customWidth="1"/>
    <col min="6" max="6" width="14.28515625" style="99" customWidth="1"/>
    <col min="7" max="7" width="2.7109375" style="99" customWidth="1"/>
    <col min="8" max="8" width="13.140625" style="99" hidden="1" customWidth="1"/>
    <col min="9" max="9" width="2.7109375" style="99" hidden="1" customWidth="1"/>
    <col min="10" max="10" width="14" style="99" customWidth="1"/>
    <col min="11" max="11" width="9.140625" style="98"/>
    <col min="12" max="13" width="9.140625" style="20"/>
    <col min="14" max="14" width="10" style="20" bestFit="1" customWidth="1"/>
    <col min="15" max="16384" width="9.140625" style="20"/>
  </cols>
  <sheetData>
    <row r="1" spans="1:18" x14ac:dyDescent="0.25">
      <c r="C1" s="361" t="s">
        <v>0</v>
      </c>
      <c r="D1" s="361"/>
      <c r="E1" s="361"/>
      <c r="F1" s="361"/>
      <c r="G1" s="361"/>
      <c r="H1" s="361"/>
      <c r="I1" s="361"/>
      <c r="J1" s="361"/>
    </row>
    <row r="2" spans="1:18" x14ac:dyDescent="0.25">
      <c r="B2" s="361" t="s">
        <v>126</v>
      </c>
      <c r="C2" s="361"/>
      <c r="D2" s="361"/>
      <c r="E2" s="361"/>
      <c r="F2" s="361"/>
      <c r="G2" s="361"/>
      <c r="H2" s="361"/>
      <c r="I2" s="361"/>
      <c r="J2" s="361"/>
      <c r="M2" s="29"/>
      <c r="N2" s="29"/>
      <c r="O2" s="29"/>
      <c r="P2" s="29"/>
      <c r="Q2" s="29"/>
      <c r="R2" s="29"/>
    </row>
    <row r="3" spans="1:18" x14ac:dyDescent="0.25">
      <c r="C3" s="371"/>
      <c r="D3" s="371"/>
      <c r="E3" s="371"/>
      <c r="F3" s="371"/>
      <c r="G3" s="371"/>
      <c r="H3" s="371"/>
      <c r="I3" s="371"/>
      <c r="J3" s="371"/>
      <c r="M3" s="29"/>
      <c r="N3" s="29"/>
      <c r="O3" s="29"/>
      <c r="P3" s="29"/>
      <c r="Q3" s="29"/>
      <c r="R3" s="29"/>
    </row>
    <row r="4" spans="1:18" x14ac:dyDescent="0.25">
      <c r="C4" s="18" t="s">
        <v>209</v>
      </c>
      <c r="D4" s="293">
        <v>0.36749999999999999</v>
      </c>
      <c r="E4" s="18"/>
      <c r="F4" s="293">
        <v>0.36749999999999999</v>
      </c>
      <c r="G4" s="18"/>
      <c r="H4" s="294">
        <v>0.38</v>
      </c>
      <c r="I4" s="82"/>
      <c r="J4" s="293">
        <v>0.38090000000000002</v>
      </c>
      <c r="M4" s="29"/>
      <c r="N4" s="29"/>
      <c r="O4" s="29"/>
      <c r="P4" s="29"/>
      <c r="Q4" s="29"/>
      <c r="R4" s="29"/>
    </row>
    <row r="5" spans="1:18" x14ac:dyDescent="0.25">
      <c r="C5" s="8"/>
      <c r="D5" s="285"/>
      <c r="E5" s="8"/>
      <c r="F5" s="8"/>
      <c r="G5" s="8"/>
      <c r="H5" s="8"/>
      <c r="I5" s="84"/>
      <c r="J5" s="285"/>
      <c r="M5" s="29"/>
      <c r="N5" s="29"/>
      <c r="O5" s="29"/>
      <c r="P5" s="29"/>
      <c r="Q5" s="29"/>
      <c r="R5" s="29"/>
    </row>
    <row r="6" spans="1:18" x14ac:dyDescent="0.25">
      <c r="C6" s="9"/>
      <c r="D6" s="45" t="s">
        <v>208</v>
      </c>
      <c r="E6" s="85"/>
      <c r="F6" s="51" t="s">
        <v>208</v>
      </c>
      <c r="G6" s="51"/>
      <c r="H6" s="51" t="s">
        <v>44</v>
      </c>
      <c r="I6" s="52"/>
      <c r="J6" s="45" t="s">
        <v>243</v>
      </c>
      <c r="M6" s="29"/>
      <c r="N6" s="29"/>
      <c r="O6" s="29"/>
      <c r="P6" s="29"/>
      <c r="Q6" s="29"/>
      <c r="R6" s="29"/>
    </row>
    <row r="7" spans="1:18" x14ac:dyDescent="0.25">
      <c r="C7" s="9"/>
      <c r="D7" s="51" t="s">
        <v>2</v>
      </c>
      <c r="E7" s="52"/>
      <c r="F7" s="51" t="s">
        <v>2</v>
      </c>
      <c r="G7" s="51"/>
      <c r="H7" s="101" t="s">
        <v>45</v>
      </c>
      <c r="I7" s="85"/>
      <c r="J7" s="51" t="s">
        <v>2</v>
      </c>
      <c r="M7" s="29"/>
      <c r="N7" s="29"/>
      <c r="O7" s="29"/>
      <c r="P7" s="29"/>
      <c r="Q7" s="29"/>
      <c r="R7" s="29"/>
    </row>
    <row r="8" spans="1:18" x14ac:dyDescent="0.25">
      <c r="A8" s="337" t="s">
        <v>238</v>
      </c>
      <c r="C8" s="85"/>
      <c r="D8" s="53" t="s">
        <v>174</v>
      </c>
      <c r="E8" s="54"/>
      <c r="F8" s="53" t="s">
        <v>212</v>
      </c>
      <c r="G8" s="39"/>
      <c r="H8" s="53" t="s">
        <v>164</v>
      </c>
      <c r="I8" s="85"/>
      <c r="J8" s="53" t="s">
        <v>221</v>
      </c>
      <c r="M8" s="29"/>
      <c r="N8" s="29"/>
      <c r="O8" s="29"/>
      <c r="P8" s="29"/>
      <c r="Q8" s="29"/>
      <c r="R8" s="29"/>
    </row>
    <row r="9" spans="1:18" x14ac:dyDescent="0.25">
      <c r="A9" s="337">
        <v>1</v>
      </c>
      <c r="B9" s="2" t="s">
        <v>3</v>
      </c>
      <c r="D9" s="74"/>
      <c r="E9" s="84"/>
      <c r="F9" s="74"/>
      <c r="G9" s="74"/>
      <c r="H9" s="74"/>
      <c r="I9" s="85"/>
      <c r="J9" s="74"/>
      <c r="M9" s="29"/>
      <c r="N9" s="29"/>
      <c r="O9" s="29"/>
      <c r="P9" s="29"/>
      <c r="Q9" s="29"/>
      <c r="R9" s="29"/>
    </row>
    <row r="10" spans="1:18" x14ac:dyDescent="0.25">
      <c r="A10" s="337">
        <v>2</v>
      </c>
      <c r="B10" s="2" t="s">
        <v>116</v>
      </c>
      <c r="D10" s="74"/>
      <c r="E10" s="84"/>
      <c r="F10" s="74"/>
      <c r="G10" s="74"/>
      <c r="H10" s="74"/>
      <c r="I10" s="85"/>
      <c r="J10" s="74"/>
      <c r="K10" s="284"/>
      <c r="M10" s="29"/>
      <c r="N10" s="29"/>
      <c r="O10" s="29"/>
      <c r="P10" s="29"/>
      <c r="Q10" s="29"/>
      <c r="R10" s="29"/>
    </row>
    <row r="11" spans="1:18" x14ac:dyDescent="0.25">
      <c r="A11" s="337">
        <v>3</v>
      </c>
      <c r="C11" s="46" t="s">
        <v>127</v>
      </c>
      <c r="D11" s="48">
        <v>141745147</v>
      </c>
      <c r="E11" s="48"/>
      <c r="F11" s="48">
        <v>154670322</v>
      </c>
      <c r="G11" s="48"/>
      <c r="H11" s="48">
        <v>124293111</v>
      </c>
      <c r="I11" s="48"/>
      <c r="J11" s="48">
        <v>165924505</v>
      </c>
      <c r="K11" s="284"/>
      <c r="M11" s="29"/>
      <c r="N11" s="29"/>
      <c r="O11" s="29"/>
      <c r="P11" s="29"/>
      <c r="Q11" s="29"/>
      <c r="R11" s="29"/>
    </row>
    <row r="12" spans="1:18" x14ac:dyDescent="0.25">
      <c r="A12" s="337">
        <v>4</v>
      </c>
      <c r="C12" s="46" t="s">
        <v>128</v>
      </c>
      <c r="D12" s="55">
        <v>325468</v>
      </c>
      <c r="E12" s="48"/>
      <c r="F12" s="55">
        <v>100000</v>
      </c>
      <c r="G12" s="55"/>
      <c r="H12" s="55">
        <v>909867</v>
      </c>
      <c r="I12" s="48"/>
      <c r="J12" s="55">
        <v>100000</v>
      </c>
      <c r="K12" s="284"/>
      <c r="M12" s="29"/>
      <c r="N12" s="29"/>
      <c r="O12" s="29"/>
      <c r="P12" s="29"/>
      <c r="Q12" s="29"/>
      <c r="R12" s="29"/>
    </row>
    <row r="13" spans="1:18" x14ac:dyDescent="0.25">
      <c r="A13" s="337">
        <v>5</v>
      </c>
      <c r="C13" s="46" t="s">
        <v>129</v>
      </c>
      <c r="D13" s="55">
        <v>451448</v>
      </c>
      <c r="E13" s="48"/>
      <c r="F13" s="55">
        <v>100000</v>
      </c>
      <c r="G13" s="55"/>
      <c r="H13" s="55">
        <v>478185</v>
      </c>
      <c r="I13" s="48"/>
      <c r="J13" s="55">
        <v>100000</v>
      </c>
      <c r="K13" s="284"/>
      <c r="M13" s="29"/>
      <c r="N13" s="29"/>
      <c r="O13" s="29"/>
      <c r="P13" s="29"/>
      <c r="Q13" s="29"/>
      <c r="R13" s="29"/>
    </row>
    <row r="14" spans="1:18" x14ac:dyDescent="0.25">
      <c r="A14" s="337">
        <v>6</v>
      </c>
      <c r="C14" s="46" t="s">
        <v>130</v>
      </c>
      <c r="D14" s="55">
        <v>2698967</v>
      </c>
      <c r="E14" s="48"/>
      <c r="F14" s="55">
        <v>500000</v>
      </c>
      <c r="G14" s="55"/>
      <c r="H14" s="55">
        <v>510745</v>
      </c>
      <c r="I14" s="48"/>
      <c r="J14" s="55">
        <v>500000</v>
      </c>
      <c r="K14" s="284"/>
      <c r="M14" s="29"/>
      <c r="N14" s="29"/>
      <c r="O14" s="29"/>
      <c r="P14" s="29"/>
      <c r="Q14" s="29"/>
      <c r="R14" s="29"/>
    </row>
    <row r="15" spans="1:18" x14ac:dyDescent="0.25">
      <c r="C15" s="46"/>
      <c r="D15" s="55"/>
      <c r="E15" s="48"/>
      <c r="F15" s="55"/>
      <c r="G15" s="55"/>
      <c r="H15" s="55"/>
      <c r="I15" s="48"/>
      <c r="J15" s="55"/>
      <c r="K15" s="284"/>
      <c r="M15" s="29"/>
      <c r="N15" s="29"/>
      <c r="O15" s="29"/>
      <c r="P15" s="29"/>
      <c r="Q15" s="29"/>
      <c r="R15" s="29"/>
    </row>
    <row r="16" spans="1:18" s="56" customFormat="1" x14ac:dyDescent="0.25">
      <c r="A16" s="337">
        <v>7</v>
      </c>
      <c r="B16" s="2" t="s">
        <v>117</v>
      </c>
      <c r="C16" s="46"/>
      <c r="D16" s="55"/>
      <c r="E16" s="48"/>
      <c r="F16" s="55"/>
      <c r="G16" s="55"/>
      <c r="H16" s="55"/>
      <c r="I16" s="48"/>
      <c r="J16" s="55"/>
      <c r="K16" s="284"/>
      <c r="M16" s="29"/>
      <c r="N16" s="29"/>
      <c r="O16" s="29"/>
      <c r="P16" s="29"/>
      <c r="Q16" s="29"/>
      <c r="R16" s="29"/>
    </row>
    <row r="17" spans="1:18" s="56" customFormat="1" x14ac:dyDescent="0.25">
      <c r="A17" s="337">
        <v>8</v>
      </c>
      <c r="B17" s="98"/>
      <c r="C17" s="46" t="s">
        <v>163</v>
      </c>
      <c r="D17" s="55">
        <v>1966389</v>
      </c>
      <c r="E17" s="48"/>
      <c r="F17" s="55">
        <v>0</v>
      </c>
      <c r="G17" s="55"/>
      <c r="H17" s="55">
        <v>2292127</v>
      </c>
      <c r="I17" s="48"/>
      <c r="J17" s="55"/>
      <c r="K17" s="284"/>
      <c r="M17" s="29"/>
      <c r="N17" s="29"/>
      <c r="O17" s="29"/>
      <c r="P17" s="29"/>
      <c r="Q17" s="29"/>
      <c r="R17" s="29"/>
    </row>
    <row r="18" spans="1:18" s="56" customFormat="1" x14ac:dyDescent="0.25">
      <c r="A18" s="337"/>
      <c r="B18" s="98"/>
      <c r="C18" s="46"/>
      <c r="D18" s="55"/>
      <c r="E18" s="48"/>
      <c r="F18" s="55"/>
      <c r="G18" s="55"/>
      <c r="H18" s="55"/>
      <c r="I18" s="48"/>
      <c r="J18" s="55"/>
      <c r="K18" s="284"/>
      <c r="M18" s="29"/>
      <c r="N18" s="29"/>
      <c r="O18" s="29"/>
      <c r="P18" s="29"/>
      <c r="Q18" s="29"/>
      <c r="R18" s="29"/>
    </row>
    <row r="19" spans="1:18" x14ac:dyDescent="0.25">
      <c r="A19" s="337">
        <v>9</v>
      </c>
      <c r="B19" s="2" t="s">
        <v>152</v>
      </c>
      <c r="C19" s="46"/>
      <c r="D19" s="55"/>
      <c r="E19" s="48"/>
      <c r="F19" s="55"/>
      <c r="G19" s="55"/>
      <c r="H19" s="55"/>
      <c r="I19" s="48"/>
      <c r="J19" s="55"/>
      <c r="K19" s="284"/>
      <c r="M19" s="29"/>
      <c r="N19" s="29"/>
      <c r="O19" s="29"/>
      <c r="P19" s="29"/>
      <c r="Q19" s="29"/>
      <c r="R19" s="29"/>
    </row>
    <row r="20" spans="1:18" x14ac:dyDescent="0.25">
      <c r="A20" s="337">
        <v>10</v>
      </c>
      <c r="C20" s="46" t="s">
        <v>153</v>
      </c>
      <c r="D20" s="55">
        <v>0</v>
      </c>
      <c r="E20" s="48"/>
      <c r="F20" s="55">
        <v>493490</v>
      </c>
      <c r="G20" s="55"/>
      <c r="H20" s="55">
        <v>490334</v>
      </c>
      <c r="I20" s="48"/>
      <c r="J20" s="55"/>
      <c r="K20" s="284"/>
      <c r="M20" s="29"/>
      <c r="N20" s="29"/>
      <c r="O20" s="29"/>
      <c r="P20" s="29"/>
      <c r="Q20" s="29"/>
      <c r="R20" s="29"/>
    </row>
    <row r="21" spans="1:18" x14ac:dyDescent="0.25">
      <c r="C21" s="46"/>
      <c r="D21" s="55"/>
      <c r="E21" s="74"/>
      <c r="F21" s="55"/>
      <c r="G21" s="55"/>
      <c r="H21" s="55"/>
      <c r="I21" s="85"/>
      <c r="J21" s="55"/>
      <c r="K21" s="284"/>
      <c r="M21" s="29"/>
      <c r="N21" s="29"/>
      <c r="O21" s="29"/>
      <c r="P21" s="29"/>
      <c r="Q21" s="29"/>
      <c r="R21" s="29"/>
    </row>
    <row r="22" spans="1:18" x14ac:dyDescent="0.25">
      <c r="A22" s="337">
        <v>11</v>
      </c>
      <c r="C22" s="40" t="s">
        <v>191</v>
      </c>
      <c r="D22" s="87">
        <f>SUM(D11:D21)</f>
        <v>147187419</v>
      </c>
      <c r="E22" s="82"/>
      <c r="F22" s="87">
        <f>SUM(F11:F21)</f>
        <v>155863812</v>
      </c>
      <c r="G22" s="82"/>
      <c r="H22" s="87">
        <f>SUM(H11:H21)</f>
        <v>128974369</v>
      </c>
      <c r="I22" s="85"/>
      <c r="J22" s="87">
        <f>SUM(J11:J21)</f>
        <v>166624505</v>
      </c>
      <c r="K22" s="284"/>
    </row>
    <row r="23" spans="1:18" x14ac:dyDescent="0.25">
      <c r="C23" s="85"/>
      <c r="D23" s="74"/>
      <c r="E23" s="84"/>
      <c r="F23" s="74"/>
      <c r="G23" s="74"/>
      <c r="H23" s="74"/>
      <c r="I23" s="85"/>
      <c r="J23" s="74"/>
      <c r="K23" s="284"/>
    </row>
    <row r="24" spans="1:18" x14ac:dyDescent="0.25">
      <c r="A24" s="337">
        <v>12</v>
      </c>
      <c r="B24" s="2" t="s">
        <v>4</v>
      </c>
      <c r="D24" s="74"/>
      <c r="E24" s="84"/>
      <c r="F24" s="74"/>
      <c r="G24" s="74"/>
      <c r="H24" s="74"/>
      <c r="I24" s="85"/>
      <c r="J24" s="74"/>
      <c r="K24" s="284"/>
    </row>
    <row r="25" spans="1:18" x14ac:dyDescent="0.25">
      <c r="A25" s="337">
        <v>13</v>
      </c>
      <c r="C25" s="46" t="s">
        <v>131</v>
      </c>
      <c r="D25" s="55">
        <v>83545665</v>
      </c>
      <c r="E25" s="55"/>
      <c r="F25" s="55">
        <v>88008440</v>
      </c>
      <c r="G25" s="55"/>
      <c r="H25" s="55">
        <v>60063384</v>
      </c>
      <c r="I25" s="55"/>
      <c r="J25" s="55">
        <v>100355234</v>
      </c>
      <c r="K25" s="284"/>
    </row>
    <row r="26" spans="1:18" x14ac:dyDescent="0.25">
      <c r="A26" s="337">
        <v>14</v>
      </c>
      <c r="C26" s="46" t="s">
        <v>132</v>
      </c>
      <c r="D26" s="55">
        <v>58694703</v>
      </c>
      <c r="E26" s="55"/>
      <c r="F26" s="55">
        <v>59853080</v>
      </c>
      <c r="G26" s="55"/>
      <c r="H26" s="55">
        <f>22221481+34204609</f>
        <v>56426090</v>
      </c>
      <c r="I26" s="55"/>
      <c r="J26" s="55">
        <v>66069271</v>
      </c>
      <c r="K26" s="284"/>
    </row>
    <row r="27" spans="1:18" x14ac:dyDescent="0.25">
      <c r="A27" s="337">
        <v>15</v>
      </c>
      <c r="C27" s="46" t="s">
        <v>133</v>
      </c>
      <c r="D27" s="55">
        <v>8291</v>
      </c>
      <c r="E27" s="55"/>
      <c r="F27" s="55">
        <v>200000</v>
      </c>
      <c r="G27" s="55"/>
      <c r="H27" s="55">
        <v>131014578</v>
      </c>
      <c r="I27" s="55"/>
      <c r="J27" s="55">
        <v>200000</v>
      </c>
      <c r="K27" s="284"/>
    </row>
    <row r="28" spans="1:18" x14ac:dyDescent="0.25">
      <c r="A28" s="337">
        <v>16</v>
      </c>
      <c r="C28" s="2" t="s">
        <v>25</v>
      </c>
      <c r="D28" s="70">
        <f>SUM(D25:D27)</f>
        <v>142248659</v>
      </c>
      <c r="E28" s="88"/>
      <c r="F28" s="70">
        <f>SUM(F25:F27)</f>
        <v>148061520</v>
      </c>
      <c r="G28" s="88"/>
      <c r="H28" s="70">
        <f>SUM(H25:H27)</f>
        <v>247504052</v>
      </c>
      <c r="I28" s="55"/>
      <c r="J28" s="70">
        <f>SUM(J25:J27)</f>
        <v>166624505</v>
      </c>
      <c r="K28" s="284"/>
      <c r="N28" s="64"/>
    </row>
    <row r="29" spans="1:18" x14ac:dyDescent="0.25">
      <c r="C29" s="85"/>
      <c r="D29" s="340"/>
      <c r="E29" s="341"/>
      <c r="F29" s="340"/>
      <c r="G29" s="340"/>
      <c r="H29" s="340"/>
      <c r="I29" s="1"/>
      <c r="J29" s="340"/>
      <c r="K29" s="284"/>
    </row>
    <row r="30" spans="1:18" x14ac:dyDescent="0.25">
      <c r="C30" s="85"/>
      <c r="D30" s="340"/>
      <c r="E30" s="341"/>
      <c r="F30" s="340"/>
      <c r="G30" s="340"/>
      <c r="H30" s="340"/>
      <c r="I30" s="1"/>
      <c r="J30" s="340"/>
      <c r="K30" s="284"/>
    </row>
    <row r="31" spans="1:18" x14ac:dyDescent="0.25">
      <c r="A31" s="337">
        <v>17</v>
      </c>
      <c r="C31" s="2" t="s">
        <v>175</v>
      </c>
      <c r="D31" s="340"/>
      <c r="E31" s="341"/>
      <c r="F31" s="340"/>
      <c r="G31" s="340"/>
      <c r="H31" s="340"/>
      <c r="I31" s="1"/>
      <c r="J31" s="340"/>
      <c r="K31" s="284"/>
    </row>
    <row r="32" spans="1:18" x14ac:dyDescent="0.25">
      <c r="A32" s="337">
        <v>18</v>
      </c>
      <c r="C32" s="2" t="s">
        <v>176</v>
      </c>
      <c r="D32" s="342">
        <f>+D22-D28</f>
        <v>4938760</v>
      </c>
      <c r="E32" s="341"/>
      <c r="F32" s="342">
        <f>+F22-F28</f>
        <v>7802292</v>
      </c>
      <c r="G32" s="343"/>
      <c r="H32" s="342">
        <f>+H22-H28</f>
        <v>-118529683</v>
      </c>
      <c r="I32" s="1"/>
      <c r="J32" s="342">
        <f>+J22-J28</f>
        <v>0</v>
      </c>
      <c r="K32" s="284"/>
    </row>
    <row r="33" spans="1:11" x14ac:dyDescent="0.25">
      <c r="C33" s="2"/>
      <c r="D33" s="340"/>
      <c r="E33" s="341"/>
      <c r="F33" s="340"/>
      <c r="G33" s="340"/>
      <c r="H33" s="340"/>
      <c r="I33" s="1"/>
      <c r="J33" s="340"/>
      <c r="K33" s="284"/>
    </row>
    <row r="34" spans="1:11" x14ac:dyDescent="0.25">
      <c r="A34" s="337">
        <v>19</v>
      </c>
      <c r="C34" s="2" t="s">
        <v>188</v>
      </c>
      <c r="D34" s="340"/>
      <c r="E34" s="341"/>
      <c r="F34" s="340"/>
      <c r="G34" s="340"/>
      <c r="H34" s="340"/>
      <c r="I34" s="1"/>
      <c r="J34" s="340"/>
      <c r="K34" s="284"/>
    </row>
    <row r="35" spans="1:11" x14ac:dyDescent="0.25">
      <c r="A35" s="337">
        <v>20</v>
      </c>
      <c r="C35" s="85" t="s">
        <v>29</v>
      </c>
      <c r="D35" s="343">
        <v>0</v>
      </c>
      <c r="E35" s="341"/>
      <c r="F35" s="344">
        <v>0</v>
      </c>
      <c r="G35" s="343"/>
      <c r="H35" s="343">
        <v>0</v>
      </c>
      <c r="I35" s="1"/>
      <c r="J35" s="344">
        <v>0</v>
      </c>
      <c r="K35" s="284"/>
    </row>
    <row r="36" spans="1:11" x14ac:dyDescent="0.25">
      <c r="A36" s="337">
        <v>21</v>
      </c>
      <c r="C36" s="85" t="s">
        <v>30</v>
      </c>
      <c r="D36" s="343">
        <v>3845</v>
      </c>
      <c r="E36" s="343"/>
      <c r="F36" s="344">
        <v>-6493490</v>
      </c>
      <c r="G36" s="343"/>
      <c r="H36" s="343">
        <v>0</v>
      </c>
      <c r="I36" s="1"/>
      <c r="J36" s="344">
        <v>0</v>
      </c>
      <c r="K36" s="284"/>
    </row>
    <row r="37" spans="1:11" x14ac:dyDescent="0.25">
      <c r="A37" s="337">
        <v>22</v>
      </c>
      <c r="C37" s="16" t="s">
        <v>31</v>
      </c>
      <c r="D37" s="345">
        <f>SUM(D35:D36)</f>
        <v>3845</v>
      </c>
      <c r="E37" s="341"/>
      <c r="F37" s="345">
        <f>SUM(F35:F36)</f>
        <v>-6493490</v>
      </c>
      <c r="G37" s="343"/>
      <c r="H37" s="345">
        <f>+H35-H36</f>
        <v>0</v>
      </c>
      <c r="I37" s="1"/>
      <c r="J37" s="346">
        <f>SUM(J35:J36)</f>
        <v>0</v>
      </c>
      <c r="K37" s="284"/>
    </row>
    <row r="38" spans="1:11" x14ac:dyDescent="0.25">
      <c r="C38" s="85"/>
      <c r="D38" s="340"/>
      <c r="E38" s="341"/>
      <c r="F38" s="340"/>
      <c r="G38" s="340"/>
      <c r="H38" s="340"/>
      <c r="I38" s="1"/>
      <c r="J38" s="340"/>
      <c r="K38" s="284"/>
    </row>
    <row r="39" spans="1:11" x14ac:dyDescent="0.25">
      <c r="A39" s="337">
        <v>23</v>
      </c>
      <c r="C39" s="2" t="s">
        <v>204</v>
      </c>
      <c r="D39" s="340"/>
      <c r="E39" s="341"/>
      <c r="F39" s="340"/>
      <c r="G39" s="340"/>
      <c r="H39" s="340"/>
      <c r="I39" s="1"/>
      <c r="J39" s="340"/>
      <c r="K39" s="284"/>
    </row>
    <row r="40" spans="1:11" x14ac:dyDescent="0.25">
      <c r="A40" s="337">
        <v>24</v>
      </c>
      <c r="C40" s="2" t="s">
        <v>32</v>
      </c>
      <c r="D40" s="340"/>
      <c r="E40" s="341"/>
      <c r="F40" s="340"/>
      <c r="G40" s="340"/>
      <c r="H40" s="340"/>
      <c r="I40" s="1"/>
      <c r="J40" s="340"/>
      <c r="K40" s="284"/>
    </row>
    <row r="41" spans="1:11" ht="15.75" thickBot="1" x14ac:dyDescent="0.3">
      <c r="A41" s="337">
        <v>25</v>
      </c>
      <c r="C41" s="2" t="s">
        <v>33</v>
      </c>
      <c r="D41" s="347">
        <f>+D32+D37</f>
        <v>4942605</v>
      </c>
      <c r="E41" s="348"/>
      <c r="F41" s="347">
        <f>+F32+F37</f>
        <v>1308802</v>
      </c>
      <c r="G41" s="348"/>
      <c r="H41" s="348">
        <f>+H32+H37</f>
        <v>-118529683</v>
      </c>
      <c r="I41" s="349"/>
      <c r="J41" s="347">
        <f>+J32+J37</f>
        <v>0</v>
      </c>
    </row>
    <row r="42" spans="1:11" ht="15.75" thickTop="1" x14ac:dyDescent="0.25">
      <c r="C42" s="85"/>
      <c r="D42" s="67"/>
      <c r="E42" s="67"/>
      <c r="F42" s="67"/>
      <c r="G42" s="67"/>
      <c r="H42" s="67"/>
      <c r="I42" s="85"/>
      <c r="J42" s="67"/>
    </row>
    <row r="43" spans="1:11" hidden="1" x14ac:dyDescent="0.25">
      <c r="C43" s="46" t="s">
        <v>34</v>
      </c>
      <c r="D43" s="95">
        <v>29411804</v>
      </c>
      <c r="E43" s="92"/>
      <c r="F43" s="67">
        <f>+D44</f>
        <v>34354409</v>
      </c>
      <c r="G43" s="67"/>
      <c r="H43" s="67">
        <f>+D44</f>
        <v>34354409</v>
      </c>
      <c r="I43" s="85"/>
      <c r="J43" s="67">
        <f>+F44</f>
        <v>35663211</v>
      </c>
    </row>
    <row r="44" spans="1:11" ht="15.75" hidden="1" thickBot="1" x14ac:dyDescent="0.3">
      <c r="C44" s="2" t="s">
        <v>35</v>
      </c>
      <c r="D44" s="96">
        <f>SUM(D41:D43)</f>
        <v>34354409</v>
      </c>
      <c r="E44" s="97"/>
      <c r="F44" s="96">
        <f>SUM(F41:F43)</f>
        <v>35663211</v>
      </c>
      <c r="G44" s="97"/>
      <c r="H44" s="96">
        <f>SUM(H41:H43)</f>
        <v>-84175274</v>
      </c>
      <c r="I44" s="85"/>
      <c r="J44" s="96">
        <f>SUM(J41:J43)</f>
        <v>35663211</v>
      </c>
    </row>
    <row r="45" spans="1:11" hidden="1" x14ac:dyDescent="0.25">
      <c r="C45" s="85"/>
      <c r="D45" s="74"/>
      <c r="E45" s="84"/>
      <c r="F45" s="74"/>
      <c r="G45" s="74"/>
      <c r="H45" s="74"/>
      <c r="I45" s="85"/>
      <c r="J45" s="74"/>
    </row>
    <row r="46" spans="1:11" hidden="1" x14ac:dyDescent="0.25">
      <c r="J46" s="74"/>
    </row>
    <row r="47" spans="1:11" x14ac:dyDescent="0.25">
      <c r="J47" s="74"/>
    </row>
    <row r="48" spans="1:11" x14ac:dyDescent="0.25">
      <c r="J48" s="74"/>
    </row>
    <row r="49" spans="10:10" x14ac:dyDescent="0.25">
      <c r="J49" s="74"/>
    </row>
    <row r="50" spans="10:10" x14ac:dyDescent="0.25">
      <c r="J50" s="74"/>
    </row>
    <row r="51" spans="10:10" x14ac:dyDescent="0.25">
      <c r="J51" s="74"/>
    </row>
  </sheetData>
  <mergeCells count="3">
    <mergeCell ref="C3:J3"/>
    <mergeCell ref="C1:J1"/>
    <mergeCell ref="B2:J2"/>
  </mergeCells>
  <pageMargins left="0.7" right="0.7" top="0.75" bottom="0.75" header="0.3" footer="0.3"/>
  <pageSetup scale="93" firstPageNumber="8" orientation="portrait" r:id="rId1"/>
  <headerFooter>
    <oddFooter>&amp;C&amp;"Arial,Regular"&amp;10-9-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9"/>
  <sheetViews>
    <sheetView zoomScaleNormal="100" workbookViewId="0">
      <selection activeCell="C4" sqref="C4"/>
    </sheetView>
  </sheetViews>
  <sheetFormatPr defaultRowHeight="15" x14ac:dyDescent="0.25"/>
  <cols>
    <col min="1" max="1" width="5.85546875" style="337" bestFit="1" customWidth="1"/>
    <col min="2" max="2" width="5.5703125" customWidth="1"/>
    <col min="3" max="3" width="40.42578125" customWidth="1"/>
    <col min="4" max="4" width="15.5703125" style="29" customWidth="1"/>
    <col min="5" max="5" width="2" style="29" customWidth="1"/>
    <col min="6" max="6" width="14.5703125" style="29" customWidth="1"/>
    <col min="7" max="7" width="2.7109375" style="29" customWidth="1"/>
    <col min="8" max="8" width="14" style="29" customWidth="1"/>
  </cols>
  <sheetData>
    <row r="1" spans="1:11" x14ac:dyDescent="0.25">
      <c r="B1" s="98"/>
      <c r="C1" s="361" t="s">
        <v>0</v>
      </c>
      <c r="D1" s="361"/>
      <c r="E1" s="361"/>
      <c r="F1" s="361"/>
      <c r="G1" s="361"/>
      <c r="H1" s="361"/>
      <c r="I1" s="5"/>
    </row>
    <row r="2" spans="1:11" x14ac:dyDescent="0.25">
      <c r="B2" s="98"/>
      <c r="C2" s="361" t="s">
        <v>39</v>
      </c>
      <c r="D2" s="361"/>
      <c r="E2" s="361"/>
      <c r="F2" s="361"/>
      <c r="G2" s="361"/>
      <c r="H2" s="361"/>
      <c r="I2" s="5"/>
    </row>
    <row r="3" spans="1:11" x14ac:dyDescent="0.25">
      <c r="B3" s="98"/>
      <c r="C3" s="362" t="s">
        <v>246</v>
      </c>
      <c r="D3" s="362"/>
      <c r="E3" s="362"/>
      <c r="F3" s="362"/>
      <c r="G3" s="362"/>
      <c r="H3" s="362"/>
      <c r="I3" s="5"/>
    </row>
    <row r="4" spans="1:11" x14ac:dyDescent="0.25">
      <c r="B4" s="98"/>
      <c r="C4" s="18"/>
      <c r="D4" s="18"/>
      <c r="E4" s="18"/>
      <c r="F4" s="18"/>
      <c r="G4" s="82"/>
      <c r="H4" s="83"/>
      <c r="I4" s="5"/>
      <c r="J4" s="29"/>
    </row>
    <row r="5" spans="1:11" x14ac:dyDescent="0.25">
      <c r="B5" s="98"/>
      <c r="C5" s="8"/>
      <c r="D5" s="8"/>
      <c r="E5" s="8"/>
      <c r="F5" s="8"/>
      <c r="G5" s="84"/>
      <c r="H5" s="74"/>
      <c r="I5" s="5"/>
      <c r="J5" s="29"/>
    </row>
    <row r="6" spans="1:11" x14ac:dyDescent="0.25">
      <c r="B6" s="98"/>
      <c r="C6" s="9"/>
      <c r="D6" s="50"/>
      <c r="E6" s="85"/>
      <c r="F6" s="51"/>
      <c r="G6" s="52"/>
      <c r="H6" s="74"/>
      <c r="I6" s="5"/>
      <c r="J6" s="29"/>
    </row>
    <row r="7" spans="1:11" x14ac:dyDescent="0.25">
      <c r="B7" s="98"/>
      <c r="C7" s="9"/>
      <c r="D7" s="51" t="s">
        <v>40</v>
      </c>
      <c r="E7" s="52"/>
      <c r="F7" s="51" t="s">
        <v>14</v>
      </c>
      <c r="G7" s="85"/>
      <c r="H7" s="51" t="s">
        <v>21</v>
      </c>
      <c r="I7" s="5"/>
    </row>
    <row r="8" spans="1:11" x14ac:dyDescent="0.25">
      <c r="B8" s="98"/>
      <c r="C8" s="85"/>
      <c r="D8" s="53" t="s">
        <v>41</v>
      </c>
      <c r="E8" s="54"/>
      <c r="F8" s="53" t="s">
        <v>41</v>
      </c>
      <c r="G8" s="85"/>
      <c r="H8" s="53" t="s">
        <v>41</v>
      </c>
      <c r="I8" s="5"/>
    </row>
    <row r="9" spans="1:11" x14ac:dyDescent="0.25">
      <c r="A9" s="337" t="s">
        <v>238</v>
      </c>
      <c r="B9" s="98"/>
      <c r="C9" s="2" t="s">
        <v>3</v>
      </c>
      <c r="D9" s="74"/>
      <c r="E9" s="84"/>
      <c r="F9" s="74"/>
      <c r="G9" s="85"/>
      <c r="H9" s="74"/>
      <c r="I9" s="5"/>
    </row>
    <row r="10" spans="1:11" x14ac:dyDescent="0.25">
      <c r="A10" s="337">
        <v>1</v>
      </c>
      <c r="B10" s="98">
        <v>5700</v>
      </c>
      <c r="C10" s="46" t="s">
        <v>36</v>
      </c>
      <c r="D10" s="48">
        <f>'GF Rev by Obj'!I8+'GF Rev by Obj'!I9+'GF Rev by Obj'!I10</f>
        <v>438366366</v>
      </c>
      <c r="E10" s="48"/>
      <c r="F10" s="48">
        <v>0</v>
      </c>
      <c r="G10" s="48"/>
      <c r="H10" s="48">
        <f>'DS Fund'!J11</f>
        <v>165924505</v>
      </c>
      <c r="I10" s="5"/>
      <c r="K10" s="57"/>
    </row>
    <row r="11" spans="1:11" x14ac:dyDescent="0.25">
      <c r="A11" s="337">
        <v>2</v>
      </c>
      <c r="B11" s="98">
        <v>5700</v>
      </c>
      <c r="C11" s="46" t="s">
        <v>37</v>
      </c>
      <c r="D11" s="55">
        <f>'GF Rev by Obj'!I11+'GF Rev by Obj'!I12+'GF Rev by Obj'!I13+'GF Rev by Obj'!I16+'GF Rev by Obj'!I18+'GF Rev by Obj'!I19+'GF Rev by Obj'!I22+'GF Rev by Obj'!I49</f>
        <v>15918603</v>
      </c>
      <c r="E11" s="74"/>
      <c r="F11" s="55">
        <f>'FS Fund'!J12</f>
        <v>10892206</v>
      </c>
      <c r="G11" s="85"/>
      <c r="H11" s="55">
        <f>SUM('DS Fund'!J12:J14)</f>
        <v>700000</v>
      </c>
      <c r="I11" s="5"/>
      <c r="K11" s="57"/>
    </row>
    <row r="12" spans="1:11" x14ac:dyDescent="0.25">
      <c r="A12" s="337">
        <v>3</v>
      </c>
      <c r="B12" s="98">
        <v>5800</v>
      </c>
      <c r="C12" s="46" t="s">
        <v>38</v>
      </c>
      <c r="D12" s="86">
        <f>'GF Rev by Obj'!I33</f>
        <v>66397489</v>
      </c>
      <c r="E12" s="67"/>
      <c r="F12" s="86">
        <f>'FS Fund'!J15</f>
        <v>111067</v>
      </c>
      <c r="G12" s="85"/>
      <c r="H12" s="86">
        <f>'DS Fund'!J17</f>
        <v>0</v>
      </c>
      <c r="I12" s="5"/>
      <c r="K12" s="57"/>
    </row>
    <row r="13" spans="1:11" x14ac:dyDescent="0.25">
      <c r="A13" s="337">
        <v>4</v>
      </c>
      <c r="B13" s="98">
        <v>5900</v>
      </c>
      <c r="C13" s="46" t="s">
        <v>42</v>
      </c>
      <c r="D13" s="67">
        <f>+'GF Rev by Obj'!I42</f>
        <v>9994113</v>
      </c>
      <c r="E13" s="67"/>
      <c r="F13" s="67">
        <f>'FS Fund'!J25</f>
        <v>14133979</v>
      </c>
      <c r="G13" s="85"/>
      <c r="H13" s="86">
        <f>'DS Fund'!J20</f>
        <v>0</v>
      </c>
      <c r="I13" s="5"/>
      <c r="K13" s="57"/>
    </row>
    <row r="14" spans="1:11" x14ac:dyDescent="0.25">
      <c r="A14" s="337">
        <v>5</v>
      </c>
      <c r="B14" s="98"/>
      <c r="C14" s="40" t="s">
        <v>191</v>
      </c>
      <c r="D14" s="87">
        <f>SUM(D10:D13)</f>
        <v>530676571</v>
      </c>
      <c r="E14" s="82"/>
      <c r="F14" s="87">
        <f>SUM(F10:F13)</f>
        <v>25137252</v>
      </c>
      <c r="G14" s="85"/>
      <c r="H14" s="87">
        <f>SUM(H10:H13)</f>
        <v>166624505</v>
      </c>
      <c r="I14" s="5"/>
      <c r="K14" s="57"/>
    </row>
    <row r="15" spans="1:11" x14ac:dyDescent="0.25">
      <c r="B15" s="98"/>
      <c r="C15" s="85"/>
      <c r="D15" s="74"/>
      <c r="E15" s="84"/>
      <c r="F15" s="74"/>
      <c r="G15" s="85"/>
      <c r="H15" s="74"/>
      <c r="I15" s="5"/>
      <c r="K15" s="57"/>
    </row>
    <row r="16" spans="1:11" x14ac:dyDescent="0.25">
      <c r="B16" s="98"/>
      <c r="C16" s="2" t="s">
        <v>4</v>
      </c>
      <c r="D16" s="74"/>
      <c r="E16" s="84"/>
      <c r="F16" s="74"/>
      <c r="G16" s="85"/>
      <c r="H16" s="74"/>
      <c r="I16" s="5"/>
      <c r="K16" s="57"/>
    </row>
    <row r="17" spans="1:11" x14ac:dyDescent="0.25">
      <c r="A17" s="337">
        <v>6</v>
      </c>
      <c r="B17" s="98">
        <v>11</v>
      </c>
      <c r="C17" s="75" t="s">
        <v>5</v>
      </c>
      <c r="D17" s="65">
        <f>+'GF by funct '!G16</f>
        <v>311727753.00000012</v>
      </c>
      <c r="E17" s="55"/>
      <c r="F17" s="55">
        <v>0</v>
      </c>
      <c r="G17" s="55"/>
      <c r="H17" s="55">
        <v>0</v>
      </c>
      <c r="I17" s="5"/>
      <c r="K17" s="57"/>
    </row>
    <row r="18" spans="1:11" x14ac:dyDescent="0.25">
      <c r="A18" s="337">
        <v>7</v>
      </c>
      <c r="B18" s="98">
        <v>12</v>
      </c>
      <c r="C18" s="75" t="s">
        <v>6</v>
      </c>
      <c r="D18" s="65">
        <f>+'GF by funct '!G17</f>
        <v>6633367</v>
      </c>
      <c r="E18" s="55"/>
      <c r="F18" s="55">
        <v>0</v>
      </c>
      <c r="G18" s="55"/>
      <c r="H18" s="55">
        <v>0</v>
      </c>
      <c r="I18" s="5"/>
      <c r="K18" s="57"/>
    </row>
    <row r="19" spans="1:11" x14ac:dyDescent="0.25">
      <c r="A19" s="337">
        <v>8</v>
      </c>
      <c r="B19" s="98">
        <v>13</v>
      </c>
      <c r="C19" s="75" t="s">
        <v>7</v>
      </c>
      <c r="D19" s="65">
        <f>+'GF by funct '!G18</f>
        <v>3478499</v>
      </c>
      <c r="E19" s="55"/>
      <c r="F19" s="55">
        <v>0</v>
      </c>
      <c r="G19" s="55"/>
      <c r="H19" s="55">
        <v>0</v>
      </c>
      <c r="I19" s="5"/>
      <c r="K19" s="57"/>
    </row>
    <row r="20" spans="1:11" x14ac:dyDescent="0.25">
      <c r="A20" s="337">
        <v>9</v>
      </c>
      <c r="B20" s="98">
        <v>21</v>
      </c>
      <c r="C20" s="75" t="s">
        <v>8</v>
      </c>
      <c r="D20" s="65">
        <f>+'GF by funct '!G19</f>
        <v>11877813</v>
      </c>
      <c r="E20" s="55"/>
      <c r="F20" s="55">
        <v>0</v>
      </c>
      <c r="G20" s="55"/>
      <c r="H20" s="55">
        <v>0</v>
      </c>
      <c r="I20" s="5"/>
      <c r="K20" s="57"/>
    </row>
    <row r="21" spans="1:11" x14ac:dyDescent="0.25">
      <c r="A21" s="337">
        <v>10</v>
      </c>
      <c r="B21" s="98">
        <v>23</v>
      </c>
      <c r="C21" s="75" t="s">
        <v>9</v>
      </c>
      <c r="D21" s="65">
        <f>+'GF by funct '!G20</f>
        <v>32687639</v>
      </c>
      <c r="E21" s="55"/>
      <c r="F21" s="55">
        <v>0</v>
      </c>
      <c r="G21" s="55"/>
      <c r="H21" s="55">
        <v>0</v>
      </c>
      <c r="I21" s="5"/>
      <c r="K21" s="57"/>
    </row>
    <row r="22" spans="1:11" x14ac:dyDescent="0.25">
      <c r="A22" s="337">
        <v>11</v>
      </c>
      <c r="B22" s="98">
        <v>31</v>
      </c>
      <c r="C22" s="75" t="s">
        <v>10</v>
      </c>
      <c r="D22" s="65">
        <f>+'GF by funct '!G21</f>
        <v>24064740</v>
      </c>
      <c r="E22" s="55"/>
      <c r="F22" s="55">
        <v>0</v>
      </c>
      <c r="G22" s="55"/>
      <c r="H22" s="55">
        <v>0</v>
      </c>
      <c r="I22" s="5"/>
      <c r="K22" s="57"/>
    </row>
    <row r="23" spans="1:11" x14ac:dyDescent="0.25">
      <c r="A23" s="337">
        <v>12</v>
      </c>
      <c r="B23" s="98">
        <v>32</v>
      </c>
      <c r="C23" s="75" t="s">
        <v>11</v>
      </c>
      <c r="D23" s="65">
        <f>+'GF by funct '!G22</f>
        <v>404482</v>
      </c>
      <c r="E23" s="55"/>
      <c r="F23" s="55">
        <v>0</v>
      </c>
      <c r="G23" s="55"/>
      <c r="H23" s="55">
        <v>0</v>
      </c>
      <c r="I23" s="5"/>
      <c r="K23" s="57"/>
    </row>
    <row r="24" spans="1:11" x14ac:dyDescent="0.25">
      <c r="A24" s="337">
        <v>13</v>
      </c>
      <c r="B24" s="98">
        <v>33</v>
      </c>
      <c r="C24" s="75" t="s">
        <v>12</v>
      </c>
      <c r="D24" s="65">
        <f>+'GF by funct '!G23</f>
        <v>5726308</v>
      </c>
      <c r="E24" s="55"/>
      <c r="F24" s="55">
        <v>0</v>
      </c>
      <c r="G24" s="55"/>
      <c r="H24" s="55">
        <v>0</v>
      </c>
      <c r="I24" s="5"/>
      <c r="K24" s="57"/>
    </row>
    <row r="25" spans="1:11" x14ac:dyDescent="0.25">
      <c r="A25" s="337">
        <v>14</v>
      </c>
      <c r="B25" s="98">
        <v>34</v>
      </c>
      <c r="C25" s="75" t="s">
        <v>13</v>
      </c>
      <c r="D25" s="65">
        <f>+'GF by funct '!G24</f>
        <v>15469983</v>
      </c>
      <c r="E25" s="55"/>
      <c r="F25" s="55">
        <v>0</v>
      </c>
      <c r="G25" s="55"/>
      <c r="H25" s="55">
        <v>0</v>
      </c>
      <c r="I25" s="5"/>
      <c r="K25" s="57"/>
    </row>
    <row r="26" spans="1:11" x14ac:dyDescent="0.25">
      <c r="A26" s="337">
        <v>15</v>
      </c>
      <c r="B26" s="98">
        <v>35</v>
      </c>
      <c r="C26" s="75" t="s">
        <v>14</v>
      </c>
      <c r="D26" s="65">
        <f>+'GF by funct '!G25</f>
        <v>48777</v>
      </c>
      <c r="E26" s="55"/>
      <c r="F26" s="55">
        <v>24075801</v>
      </c>
      <c r="G26" s="55"/>
      <c r="H26" s="55">
        <v>0</v>
      </c>
      <c r="I26" s="5"/>
      <c r="K26" s="57"/>
    </row>
    <row r="27" spans="1:11" x14ac:dyDescent="0.25">
      <c r="A27" s="337">
        <v>16</v>
      </c>
      <c r="B27" s="98">
        <v>36</v>
      </c>
      <c r="C27" s="75" t="s">
        <v>15</v>
      </c>
      <c r="D27" s="65">
        <f>+'GF by funct '!G26</f>
        <v>12418867</v>
      </c>
      <c r="E27" s="55"/>
      <c r="F27" s="55">
        <v>0</v>
      </c>
      <c r="G27" s="55"/>
      <c r="H27" s="55">
        <v>0</v>
      </c>
      <c r="I27" s="5"/>
      <c r="K27" s="57"/>
    </row>
    <row r="28" spans="1:11" x14ac:dyDescent="0.25">
      <c r="A28" s="337">
        <v>17</v>
      </c>
      <c r="B28" s="98">
        <v>41</v>
      </c>
      <c r="C28" s="75" t="s">
        <v>16</v>
      </c>
      <c r="D28" s="65">
        <f>+'GF by funct '!G27</f>
        <v>11565520</v>
      </c>
      <c r="E28" s="55"/>
      <c r="F28" s="55">
        <v>0</v>
      </c>
      <c r="G28" s="55"/>
      <c r="H28" s="55">
        <v>0</v>
      </c>
      <c r="I28" s="5"/>
      <c r="K28" s="57"/>
    </row>
    <row r="29" spans="1:11" x14ac:dyDescent="0.25">
      <c r="A29" s="337">
        <v>18</v>
      </c>
      <c r="B29" s="98">
        <v>51</v>
      </c>
      <c r="C29" s="75" t="s">
        <v>17</v>
      </c>
      <c r="D29" s="65">
        <f>+'GF by funct '!G28</f>
        <v>44310942</v>
      </c>
      <c r="E29" s="55"/>
      <c r="F29" s="55">
        <v>1093303</v>
      </c>
      <c r="G29" s="55"/>
      <c r="H29" s="55">
        <v>0</v>
      </c>
      <c r="I29" s="5"/>
      <c r="K29" s="57"/>
    </row>
    <row r="30" spans="1:11" x14ac:dyDescent="0.25">
      <c r="A30" s="337">
        <v>19</v>
      </c>
      <c r="B30" s="98">
        <v>52</v>
      </c>
      <c r="C30" s="75" t="s">
        <v>18</v>
      </c>
      <c r="D30" s="65">
        <f>+'GF by funct '!G29</f>
        <v>3493183</v>
      </c>
      <c r="E30" s="55"/>
      <c r="F30" s="55">
        <v>0</v>
      </c>
      <c r="G30" s="55"/>
      <c r="H30" s="55">
        <v>0</v>
      </c>
      <c r="I30" s="5"/>
      <c r="K30" s="57"/>
    </row>
    <row r="31" spans="1:11" x14ac:dyDescent="0.25">
      <c r="A31" s="337">
        <v>20</v>
      </c>
      <c r="B31" s="98">
        <v>53</v>
      </c>
      <c r="C31" s="75" t="s">
        <v>19</v>
      </c>
      <c r="D31" s="65">
        <f>+'GF by funct '!G30</f>
        <v>12883234</v>
      </c>
      <c r="E31" s="55"/>
      <c r="F31" s="55">
        <v>0</v>
      </c>
      <c r="G31" s="55"/>
      <c r="H31" s="55">
        <v>0</v>
      </c>
      <c r="I31" s="5"/>
      <c r="K31" s="57"/>
    </row>
    <row r="32" spans="1:11" x14ac:dyDescent="0.25">
      <c r="A32" s="337">
        <v>21</v>
      </c>
      <c r="B32" s="98">
        <v>61</v>
      </c>
      <c r="C32" s="75" t="s">
        <v>20</v>
      </c>
      <c r="D32" s="65">
        <f>+'GF by funct '!G31</f>
        <v>9565300</v>
      </c>
      <c r="E32" s="55"/>
      <c r="F32" s="55">
        <v>0</v>
      </c>
      <c r="G32" s="55"/>
      <c r="H32" s="55">
        <v>0</v>
      </c>
      <c r="I32" s="5"/>
      <c r="K32" s="57"/>
    </row>
    <row r="33" spans="1:11" x14ac:dyDescent="0.25">
      <c r="A33" s="337">
        <v>22</v>
      </c>
      <c r="B33" s="98">
        <v>71</v>
      </c>
      <c r="C33" s="75" t="s">
        <v>21</v>
      </c>
      <c r="D33" s="65">
        <f>+'GF by funct '!G32</f>
        <v>0</v>
      </c>
      <c r="E33" s="55"/>
      <c r="F33" s="55">
        <v>0</v>
      </c>
      <c r="G33" s="55"/>
      <c r="H33" s="55">
        <f>SUM('DS Fund'!J25:J27)</f>
        <v>166624505</v>
      </c>
      <c r="I33" s="5"/>
      <c r="J33" s="1"/>
      <c r="K33" s="57"/>
    </row>
    <row r="34" spans="1:11" x14ac:dyDescent="0.25">
      <c r="A34" s="337">
        <v>23</v>
      </c>
      <c r="B34" s="98">
        <v>81</v>
      </c>
      <c r="C34" s="75" t="s">
        <v>22</v>
      </c>
      <c r="D34" s="65">
        <f>+'GF by funct '!G33</f>
        <v>0</v>
      </c>
      <c r="E34" s="55"/>
      <c r="F34" s="55">
        <v>0</v>
      </c>
      <c r="G34" s="55"/>
      <c r="H34" s="55">
        <v>0</v>
      </c>
      <c r="I34" s="5"/>
      <c r="J34" s="1"/>
      <c r="K34" s="57"/>
    </row>
    <row r="35" spans="1:11" s="56" customFormat="1" x14ac:dyDescent="0.25">
      <c r="A35" s="337">
        <v>24</v>
      </c>
      <c r="B35" s="98">
        <v>91</v>
      </c>
      <c r="C35" s="75" t="s">
        <v>179</v>
      </c>
      <c r="D35" s="65">
        <f>'GF by funct '!G34</f>
        <v>32444332</v>
      </c>
      <c r="E35" s="55"/>
      <c r="F35" s="55">
        <v>0</v>
      </c>
      <c r="G35" s="55"/>
      <c r="H35" s="55">
        <v>0</v>
      </c>
      <c r="I35" s="5"/>
      <c r="J35" s="1"/>
      <c r="K35" s="57"/>
    </row>
    <row r="36" spans="1:11" x14ac:dyDescent="0.25">
      <c r="A36" s="337">
        <v>25</v>
      </c>
      <c r="B36" s="98">
        <v>93</v>
      </c>
      <c r="C36" s="75" t="s">
        <v>23</v>
      </c>
      <c r="D36" s="65">
        <f>+'GF by funct '!G35</f>
        <v>210000</v>
      </c>
      <c r="E36" s="55"/>
      <c r="F36" s="55">
        <v>0</v>
      </c>
      <c r="G36" s="55"/>
      <c r="H36" s="55">
        <v>0</v>
      </c>
      <c r="I36" s="5"/>
      <c r="J36" s="1"/>
      <c r="K36" s="57"/>
    </row>
    <row r="37" spans="1:11" x14ac:dyDescent="0.25">
      <c r="A37" s="337">
        <v>26</v>
      </c>
      <c r="B37" s="98">
        <v>95</v>
      </c>
      <c r="C37" s="75" t="s">
        <v>193</v>
      </c>
      <c r="D37" s="65">
        <f>+'GF by funct '!G36</f>
        <v>200000</v>
      </c>
      <c r="E37" s="55"/>
      <c r="F37" s="55">
        <v>0</v>
      </c>
      <c r="G37" s="55"/>
      <c r="H37" s="55">
        <v>0</v>
      </c>
      <c r="I37" s="5"/>
      <c r="J37" s="1"/>
      <c r="K37" s="57"/>
    </row>
    <row r="38" spans="1:11" x14ac:dyDescent="0.25">
      <c r="A38" s="337">
        <v>27</v>
      </c>
      <c r="B38" s="98">
        <v>99</v>
      </c>
      <c r="C38" s="75" t="s">
        <v>24</v>
      </c>
      <c r="D38" s="65">
        <f>+'GF by funct '!G37</f>
        <v>3850000</v>
      </c>
      <c r="E38" s="55"/>
      <c r="F38" s="55">
        <v>0</v>
      </c>
      <c r="G38" s="55"/>
      <c r="H38" s="55">
        <v>0</v>
      </c>
      <c r="I38" s="5"/>
      <c r="J38" s="19"/>
      <c r="K38" s="57"/>
    </row>
    <row r="39" spans="1:11" x14ac:dyDescent="0.25">
      <c r="A39" s="337">
        <v>28</v>
      </c>
      <c r="B39" s="98"/>
      <c r="C39" s="2" t="s">
        <v>25</v>
      </c>
      <c r="D39" s="70">
        <f>SUM(D17:D38)</f>
        <v>543060739.00000012</v>
      </c>
      <c r="E39" s="88"/>
      <c r="F39" s="70">
        <f>SUM(F17:F38)</f>
        <v>25169104</v>
      </c>
      <c r="G39" s="55"/>
      <c r="H39" s="70">
        <f>SUM(H17:H38)</f>
        <v>166624505</v>
      </c>
      <c r="I39" s="5"/>
      <c r="J39" s="1"/>
    </row>
    <row r="40" spans="1:11" x14ac:dyDescent="0.25">
      <c r="B40" s="98"/>
      <c r="C40" s="85"/>
      <c r="D40" s="74"/>
      <c r="E40" s="84"/>
      <c r="F40" s="74"/>
      <c r="G40" s="85"/>
      <c r="H40" s="74"/>
      <c r="I40" s="5"/>
      <c r="J40" s="1"/>
    </row>
    <row r="41" spans="1:11" hidden="1" x14ac:dyDescent="0.25">
      <c r="B41" s="98"/>
      <c r="C41" s="85"/>
      <c r="D41" s="74"/>
      <c r="E41" s="84"/>
      <c r="F41" s="74"/>
      <c r="G41" s="85"/>
      <c r="H41" s="74"/>
      <c r="I41" s="5"/>
      <c r="J41" s="1"/>
    </row>
    <row r="42" spans="1:11" hidden="1" x14ac:dyDescent="0.25">
      <c r="B42" s="98"/>
      <c r="C42" s="2" t="s">
        <v>26</v>
      </c>
      <c r="D42" s="74"/>
      <c r="E42" s="84"/>
      <c r="F42" s="74"/>
      <c r="G42" s="85"/>
      <c r="H42" s="74"/>
      <c r="I42" s="5"/>
      <c r="J42" s="1"/>
    </row>
    <row r="43" spans="1:11" hidden="1" x14ac:dyDescent="0.25">
      <c r="B43" s="98"/>
      <c r="C43" s="2" t="s">
        <v>27</v>
      </c>
      <c r="D43" s="89">
        <f>+D14-D39</f>
        <v>-12384168.000000119</v>
      </c>
      <c r="E43" s="84"/>
      <c r="F43" s="89">
        <f>+F14-F39</f>
        <v>-31852</v>
      </c>
      <c r="G43" s="85"/>
      <c r="H43" s="89">
        <f>+H14-H39</f>
        <v>0</v>
      </c>
      <c r="I43" s="5"/>
      <c r="J43" s="1"/>
    </row>
    <row r="44" spans="1:11" hidden="1" x14ac:dyDescent="0.25">
      <c r="B44" s="98"/>
      <c r="C44" s="2"/>
      <c r="D44" s="74"/>
      <c r="E44" s="84"/>
      <c r="F44" s="74"/>
      <c r="G44" s="85"/>
      <c r="H44" s="74"/>
      <c r="I44" s="5"/>
      <c r="J44" s="1"/>
    </row>
    <row r="45" spans="1:11" hidden="1" x14ac:dyDescent="0.25">
      <c r="B45" s="98"/>
      <c r="C45" s="2" t="s">
        <v>28</v>
      </c>
      <c r="D45" s="74"/>
      <c r="E45" s="84"/>
      <c r="F45" s="74"/>
      <c r="G45" s="85"/>
      <c r="H45" s="74"/>
      <c r="I45" s="5"/>
      <c r="J45" s="1"/>
    </row>
    <row r="46" spans="1:11" hidden="1" x14ac:dyDescent="0.25">
      <c r="B46" s="98"/>
      <c r="C46" s="85" t="s">
        <v>29</v>
      </c>
      <c r="D46" s="67">
        <v>0</v>
      </c>
      <c r="E46" s="84"/>
      <c r="F46" s="67">
        <v>0</v>
      </c>
      <c r="G46" s="85"/>
      <c r="H46" s="67"/>
      <c r="I46" s="5"/>
      <c r="J46" s="1"/>
    </row>
    <row r="47" spans="1:11" hidden="1" x14ac:dyDescent="0.25">
      <c r="B47" s="98"/>
      <c r="C47" s="85" t="s">
        <v>30</v>
      </c>
      <c r="D47" s="67">
        <v>0</v>
      </c>
      <c r="E47" s="67"/>
      <c r="F47" s="67">
        <v>0</v>
      </c>
      <c r="G47" s="85"/>
      <c r="H47" s="67"/>
      <c r="I47" s="5"/>
      <c r="J47" s="1"/>
    </row>
    <row r="48" spans="1:11" hidden="1" x14ac:dyDescent="0.25">
      <c r="B48" s="98"/>
      <c r="C48" s="16" t="s">
        <v>31</v>
      </c>
      <c r="D48" s="90">
        <f>+D46-D47</f>
        <v>0</v>
      </c>
      <c r="E48" s="82"/>
      <c r="F48" s="90">
        <f>+F46-F47</f>
        <v>0</v>
      </c>
      <c r="G48" s="85"/>
      <c r="H48" s="90">
        <f>+H46-H47</f>
        <v>0</v>
      </c>
      <c r="I48" s="5"/>
      <c r="J48" s="1"/>
    </row>
    <row r="49" spans="1:10" hidden="1" x14ac:dyDescent="0.25">
      <c r="B49" s="98"/>
      <c r="C49" s="85"/>
      <c r="D49" s="74"/>
      <c r="E49" s="84"/>
      <c r="F49" s="74"/>
      <c r="G49" s="85"/>
      <c r="H49" s="74"/>
      <c r="I49" s="5"/>
    </row>
    <row r="50" spans="1:10" x14ac:dyDescent="0.25">
      <c r="B50" s="98"/>
      <c r="C50" s="98"/>
      <c r="D50" s="74"/>
      <c r="E50" s="84"/>
      <c r="F50" s="74"/>
      <c r="G50" s="85"/>
      <c r="H50" s="74"/>
      <c r="I50" s="5"/>
    </row>
    <row r="51" spans="1:10" x14ac:dyDescent="0.25">
      <c r="B51" s="98"/>
      <c r="C51" s="2" t="s">
        <v>194</v>
      </c>
      <c r="D51" s="74"/>
      <c r="E51" s="84"/>
      <c r="F51" s="74"/>
      <c r="G51" s="85"/>
      <c r="H51" s="74"/>
      <c r="I51" s="5"/>
    </row>
    <row r="52" spans="1:10" x14ac:dyDescent="0.25">
      <c r="A52" s="337">
        <v>29</v>
      </c>
      <c r="B52" s="98"/>
      <c r="C52" s="2" t="s">
        <v>155</v>
      </c>
      <c r="D52" s="91">
        <f>+D43+D48</f>
        <v>-12384168.000000119</v>
      </c>
      <c r="E52" s="92"/>
      <c r="F52" s="91">
        <f>+F43+F48</f>
        <v>-31852</v>
      </c>
      <c r="G52" s="85"/>
      <c r="H52" s="91">
        <f>+H43+H48</f>
        <v>0</v>
      </c>
      <c r="I52" s="5"/>
    </row>
    <row r="53" spans="1:10" s="56" customFormat="1" x14ac:dyDescent="0.25">
      <c r="A53" s="337"/>
      <c r="B53" s="98"/>
      <c r="C53" s="2"/>
      <c r="D53" s="92"/>
      <c r="E53" s="92"/>
      <c r="F53" s="92"/>
      <c r="G53" s="85"/>
      <c r="H53" s="92"/>
      <c r="I53" s="5"/>
    </row>
    <row r="54" spans="1:10" s="56" customFormat="1" x14ac:dyDescent="0.25">
      <c r="A54" s="337"/>
      <c r="B54" s="98"/>
      <c r="C54" s="2" t="s">
        <v>188</v>
      </c>
      <c r="D54" s="74"/>
      <c r="E54" s="84"/>
      <c r="F54" s="74"/>
      <c r="G54" s="85"/>
      <c r="H54" s="74"/>
      <c r="I54" s="5"/>
      <c r="J54" s="1"/>
    </row>
    <row r="55" spans="1:10" s="56" customFormat="1" x14ac:dyDescent="0.25">
      <c r="A55" s="337">
        <v>30</v>
      </c>
      <c r="B55" s="98"/>
      <c r="C55" s="85" t="s">
        <v>29</v>
      </c>
      <c r="D55" s="65">
        <v>0</v>
      </c>
      <c r="E55" s="287">
        <f>+'GF Rev by Obj'!F58+'GF Rev by Obj'!F59</f>
        <v>0</v>
      </c>
      <c r="F55" s="288">
        <f>+'FS Fund'!J42</f>
        <v>0</v>
      </c>
      <c r="G55" s="287"/>
      <c r="H55" s="55">
        <f>+'DS Fund'!J35</f>
        <v>0</v>
      </c>
      <c r="I55" s="5"/>
      <c r="J55" s="1"/>
    </row>
    <row r="56" spans="1:10" s="56" customFormat="1" x14ac:dyDescent="0.25">
      <c r="A56" s="337">
        <v>31</v>
      </c>
      <c r="B56" s="98"/>
      <c r="C56" s="85" t="s">
        <v>30</v>
      </c>
      <c r="D56" s="65">
        <f>+'GF by funct '!G46</f>
        <v>0</v>
      </c>
      <c r="E56" s="287">
        <v>0</v>
      </c>
      <c r="F56" s="288">
        <v>0</v>
      </c>
      <c r="G56" s="287"/>
      <c r="H56" s="55">
        <f>+'DS Fund'!J36</f>
        <v>0</v>
      </c>
      <c r="I56" s="5"/>
      <c r="J56" s="1"/>
    </row>
    <row r="57" spans="1:10" s="56" customFormat="1" x14ac:dyDescent="0.25">
      <c r="A57" s="337">
        <v>32</v>
      </c>
      <c r="B57" s="98"/>
      <c r="C57" s="16" t="s">
        <v>31</v>
      </c>
      <c r="D57" s="286">
        <f>SUM(D55:D56)</f>
        <v>0</v>
      </c>
      <c r="E57" s="287">
        <f t="shared" ref="E57" si="0">+E55-E56</f>
        <v>0</v>
      </c>
      <c r="F57" s="286">
        <f>+F55-F56</f>
        <v>0</v>
      </c>
      <c r="G57" s="287"/>
      <c r="H57" s="286">
        <f>SUM(H55:H56)</f>
        <v>0</v>
      </c>
      <c r="I57" s="5"/>
      <c r="J57" s="1"/>
    </row>
    <row r="58" spans="1:10" s="56" customFormat="1" x14ac:dyDescent="0.25">
      <c r="A58" s="337"/>
      <c r="B58" s="98"/>
      <c r="C58" s="16"/>
      <c r="D58" s="93"/>
      <c r="E58" s="93"/>
      <c r="F58" s="93"/>
      <c r="G58" s="93"/>
      <c r="H58" s="93"/>
      <c r="I58" s="5"/>
      <c r="J58" s="1"/>
    </row>
    <row r="59" spans="1:10" s="56" customFormat="1" ht="15.75" thickBot="1" x14ac:dyDescent="0.3">
      <c r="A59" s="337">
        <v>33</v>
      </c>
      <c r="B59" s="98"/>
      <c r="C59" s="2" t="s">
        <v>158</v>
      </c>
      <c r="D59" s="94">
        <f>+D52+D57</f>
        <v>-12384168.000000119</v>
      </c>
      <c r="E59" s="93"/>
      <c r="F59" s="94">
        <f>+F52+F57</f>
        <v>-31852</v>
      </c>
      <c r="G59" s="93"/>
      <c r="H59" s="94">
        <f>+H52+H57</f>
        <v>0</v>
      </c>
      <c r="I59" s="5"/>
      <c r="J59" s="1"/>
    </row>
    <row r="60" spans="1:10" ht="15.75" thickTop="1" x14ac:dyDescent="0.25">
      <c r="B60" s="98"/>
      <c r="C60" s="85"/>
      <c r="D60" s="67"/>
      <c r="E60" s="67"/>
      <c r="F60" s="67"/>
      <c r="G60" s="85"/>
      <c r="H60" s="67"/>
      <c r="I60" s="5"/>
    </row>
    <row r="61" spans="1:10" hidden="1" x14ac:dyDescent="0.25">
      <c r="B61" s="98"/>
      <c r="C61" s="46" t="s">
        <v>34</v>
      </c>
      <c r="D61" s="95">
        <f>+'GF by funct '!G51</f>
        <v>173188719</v>
      </c>
      <c r="E61" s="92"/>
      <c r="F61" s="67">
        <f>+'FS Fund'!J50</f>
        <v>4295914</v>
      </c>
      <c r="G61" s="85"/>
      <c r="H61" s="67">
        <f>+'DS Fund'!J43</f>
        <v>35663211</v>
      </c>
      <c r="I61" s="5"/>
    </row>
    <row r="62" spans="1:10" ht="15.75" hidden="1" thickBot="1" x14ac:dyDescent="0.3">
      <c r="B62" s="98"/>
      <c r="C62" s="2" t="s">
        <v>35</v>
      </c>
      <c r="D62" s="96">
        <f>SUM(D59:D61)</f>
        <v>160804550.99999988</v>
      </c>
      <c r="E62" s="97"/>
      <c r="F62" s="96">
        <f>SUM(F59:F61)</f>
        <v>4264062</v>
      </c>
      <c r="G62" s="85"/>
      <c r="H62" s="96">
        <f>SUM(H59:H61)</f>
        <v>35663211</v>
      </c>
      <c r="I62" s="5"/>
    </row>
    <row r="63" spans="1:10" hidden="1" x14ac:dyDescent="0.25">
      <c r="B63" s="98"/>
      <c r="C63" s="85"/>
      <c r="D63" s="74"/>
      <c r="E63" s="84"/>
      <c r="F63" s="74"/>
      <c r="G63" s="85"/>
      <c r="H63" s="74"/>
      <c r="I63" s="5"/>
    </row>
    <row r="64" spans="1:10" x14ac:dyDescent="0.25">
      <c r="B64" s="98"/>
      <c r="C64" s="98"/>
      <c r="D64" s="99"/>
      <c r="E64" s="99"/>
      <c r="F64" s="99"/>
      <c r="G64" s="99"/>
      <c r="H64" s="74"/>
    </row>
    <row r="65" spans="2:8" x14ac:dyDescent="0.25">
      <c r="B65" s="98"/>
      <c r="C65" s="98"/>
      <c r="D65" s="99"/>
      <c r="E65" s="99"/>
      <c r="F65" s="99"/>
      <c r="G65" s="99"/>
      <c r="H65" s="74"/>
    </row>
    <row r="66" spans="2:8" x14ac:dyDescent="0.25">
      <c r="B66" s="363"/>
      <c r="C66" s="363"/>
      <c r="D66" s="363"/>
      <c r="E66" s="363"/>
      <c r="F66" s="363"/>
      <c r="G66" s="363"/>
      <c r="H66" s="363"/>
    </row>
    <row r="67" spans="2:8" x14ac:dyDescent="0.25">
      <c r="H67" s="4"/>
    </row>
    <row r="68" spans="2:8" x14ac:dyDescent="0.25">
      <c r="H68" s="4"/>
    </row>
    <row r="69" spans="2:8" x14ac:dyDescent="0.25">
      <c r="H69" s="4"/>
    </row>
  </sheetData>
  <mergeCells count="4">
    <mergeCell ref="C1:H1"/>
    <mergeCell ref="C2:H2"/>
    <mergeCell ref="C3:H3"/>
    <mergeCell ref="B66:H66"/>
  </mergeCells>
  <pageMargins left="0.7" right="0.7" top="0.75" bottom="0.75" header="0.3" footer="0.3"/>
  <pageSetup scale="87" orientation="portrait" r:id="rId1"/>
  <headerFooter>
    <oddFooter>&amp;C&amp;"Arial,Regular"&amp;10 -1-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41"/>
  <sheetViews>
    <sheetView showOutlineSymbols="0" zoomScale="87" zoomScaleNormal="87" workbookViewId="0">
      <selection activeCell="B19" sqref="B19"/>
    </sheetView>
  </sheetViews>
  <sheetFormatPr defaultColWidth="11.140625" defaultRowHeight="15" x14ac:dyDescent="0.2"/>
  <cols>
    <col min="1" max="1" width="7.140625" style="117" customWidth="1"/>
    <col min="2" max="8" width="11.140625" style="117"/>
    <col min="9" max="9" width="9.85546875" style="117" customWidth="1"/>
    <col min="10" max="10" width="2.140625" style="117" customWidth="1"/>
    <col min="11" max="11" width="4.42578125" style="117" customWidth="1"/>
    <col min="12" max="16384" width="11.140625" style="117"/>
  </cols>
  <sheetData>
    <row r="2" spans="1:12" ht="15.75" thickBot="1" x14ac:dyDescent="0.25"/>
    <row r="3" spans="1:12" x14ac:dyDescent="0.2">
      <c r="B3" s="118"/>
      <c r="C3" s="119"/>
      <c r="D3" s="119"/>
      <c r="E3" s="119"/>
      <c r="F3" s="119"/>
      <c r="G3" s="119"/>
      <c r="H3" s="119"/>
      <c r="I3" s="119"/>
      <c r="J3" s="120"/>
      <c r="K3" s="121"/>
      <c r="L3" s="121"/>
    </row>
    <row r="4" spans="1:12" x14ac:dyDescent="0.2">
      <c r="B4" s="122"/>
      <c r="C4" s="121"/>
      <c r="D4" s="121"/>
      <c r="E4" s="121"/>
      <c r="F4" s="121"/>
      <c r="G4" s="121"/>
      <c r="H4" s="121"/>
      <c r="I4" s="121"/>
      <c r="J4" s="123"/>
      <c r="K4" s="121"/>
      <c r="L4" s="121"/>
    </row>
    <row r="5" spans="1:12" x14ac:dyDescent="0.2">
      <c r="B5" s="124"/>
      <c r="C5" s="125"/>
      <c r="D5" s="125"/>
      <c r="E5" s="125"/>
      <c r="F5" s="125"/>
      <c r="G5" s="125"/>
      <c r="H5" s="125"/>
      <c r="I5" s="125"/>
      <c r="J5" s="123"/>
      <c r="K5" s="121"/>
      <c r="L5" s="121"/>
    </row>
    <row r="6" spans="1:12" ht="18" x14ac:dyDescent="0.25">
      <c r="B6" s="124"/>
      <c r="C6" s="126"/>
      <c r="D6" s="127"/>
      <c r="E6" s="127"/>
      <c r="F6" s="127"/>
      <c r="G6" s="127"/>
      <c r="H6" s="127"/>
      <c r="I6" s="127"/>
      <c r="J6" s="123"/>
      <c r="K6" s="121"/>
      <c r="L6" s="121"/>
    </row>
    <row r="7" spans="1:12" ht="30" x14ac:dyDescent="0.4">
      <c r="B7" s="128"/>
      <c r="C7" s="126"/>
      <c r="D7" s="127"/>
      <c r="E7" s="127"/>
      <c r="F7" s="127"/>
      <c r="G7" s="127"/>
      <c r="H7" s="127"/>
      <c r="I7" s="127"/>
      <c r="J7" s="123"/>
      <c r="K7" s="121"/>
      <c r="L7" s="121"/>
    </row>
    <row r="8" spans="1:12" ht="30" x14ac:dyDescent="0.4">
      <c r="B8" s="128"/>
      <c r="C8" s="126"/>
      <c r="D8" s="127"/>
      <c r="E8" s="127"/>
      <c r="F8" s="127"/>
      <c r="G8" s="127"/>
      <c r="H8" s="127"/>
      <c r="I8" s="127"/>
      <c r="J8" s="123"/>
      <c r="K8" s="121"/>
      <c r="L8" s="121"/>
    </row>
    <row r="9" spans="1:12" ht="18" x14ac:dyDescent="0.25">
      <c r="B9" s="129"/>
      <c r="C9" s="126"/>
      <c r="D9" s="127"/>
      <c r="E9" s="127"/>
      <c r="F9" s="127"/>
      <c r="G9" s="127"/>
      <c r="H9" s="127"/>
      <c r="I9" s="127"/>
      <c r="J9" s="123"/>
      <c r="K9" s="121"/>
      <c r="L9" s="121"/>
    </row>
    <row r="10" spans="1:12" ht="18.75" thickBot="1" x14ac:dyDescent="0.3">
      <c r="B10" s="130"/>
      <c r="C10" s="131"/>
      <c r="D10" s="132"/>
      <c r="E10" s="132"/>
      <c r="F10" s="132"/>
      <c r="G10" s="132"/>
      <c r="H10" s="132"/>
      <c r="I10" s="132"/>
      <c r="J10" s="133"/>
      <c r="K10" s="121"/>
      <c r="L10" s="121"/>
    </row>
    <row r="11" spans="1:12" ht="18" x14ac:dyDescent="0.25">
      <c r="B11" s="134"/>
      <c r="C11" s="134"/>
      <c r="D11" s="135"/>
      <c r="E11" s="135"/>
      <c r="F11" s="135"/>
      <c r="G11" s="135"/>
      <c r="H11" s="135"/>
      <c r="I11" s="136"/>
      <c r="J11" s="121"/>
      <c r="K11" s="121"/>
      <c r="L11" s="121"/>
    </row>
    <row r="12" spans="1:12" ht="18.75" thickBot="1" x14ac:dyDescent="0.3">
      <c r="B12" s="134"/>
      <c r="C12" s="134"/>
      <c r="D12" s="135"/>
      <c r="E12" s="135"/>
      <c r="F12" s="135"/>
      <c r="G12" s="135"/>
      <c r="H12" s="135"/>
      <c r="I12" s="135"/>
    </row>
    <row r="13" spans="1:12" x14ac:dyDescent="0.2">
      <c r="B13" s="137"/>
      <c r="C13" s="138"/>
      <c r="D13" s="138"/>
      <c r="E13" s="138"/>
      <c r="F13" s="138"/>
      <c r="G13" s="138"/>
      <c r="H13" s="138"/>
      <c r="I13" s="138"/>
      <c r="J13" s="120"/>
    </row>
    <row r="14" spans="1:12" x14ac:dyDescent="0.2">
      <c r="B14" s="124"/>
      <c r="C14" s="125"/>
      <c r="D14" s="125"/>
      <c r="E14" s="125"/>
      <c r="F14" s="125"/>
      <c r="G14" s="125"/>
      <c r="H14" s="125"/>
      <c r="I14" s="125"/>
      <c r="J14" s="123"/>
    </row>
    <row r="15" spans="1:12" ht="30" x14ac:dyDescent="0.4">
      <c r="A15" s="135"/>
      <c r="B15" s="128" t="s">
        <v>187</v>
      </c>
      <c r="C15" s="127"/>
      <c r="D15" s="127"/>
      <c r="E15" s="127"/>
      <c r="F15" s="127"/>
      <c r="G15" s="127"/>
      <c r="H15" s="127"/>
      <c r="I15" s="127"/>
      <c r="J15" s="123"/>
    </row>
    <row r="16" spans="1:12" x14ac:dyDescent="0.2">
      <c r="B16" s="124"/>
      <c r="C16" s="125"/>
      <c r="D16" s="125"/>
      <c r="E16" s="125"/>
      <c r="F16" s="125"/>
      <c r="G16" s="125"/>
      <c r="H16" s="125"/>
      <c r="I16" s="125"/>
      <c r="J16" s="123"/>
    </row>
    <row r="17" spans="1:10" x14ac:dyDescent="0.2">
      <c r="B17" s="124"/>
      <c r="C17" s="125"/>
      <c r="D17" s="125"/>
      <c r="E17" s="125"/>
      <c r="F17" s="125"/>
      <c r="G17" s="125"/>
      <c r="H17" s="125"/>
      <c r="I17" s="125"/>
      <c r="J17" s="123"/>
    </row>
    <row r="18" spans="1:10" ht="30" x14ac:dyDescent="0.4">
      <c r="A18" s="135"/>
      <c r="B18" s="128" t="s">
        <v>154</v>
      </c>
      <c r="C18" s="127"/>
      <c r="D18" s="127"/>
      <c r="E18" s="127"/>
      <c r="F18" s="127"/>
      <c r="G18" s="127"/>
      <c r="H18" s="127"/>
      <c r="I18" s="127"/>
      <c r="J18" s="123"/>
    </row>
    <row r="19" spans="1:10" ht="30" x14ac:dyDescent="0.4">
      <c r="A19" s="135"/>
      <c r="B19" s="128"/>
      <c r="C19" s="127"/>
      <c r="D19" s="127"/>
      <c r="E19" s="127"/>
      <c r="F19" s="127"/>
      <c r="G19" s="127"/>
      <c r="H19" s="127"/>
      <c r="I19" s="127"/>
      <c r="J19" s="123"/>
    </row>
    <row r="20" spans="1:10" ht="30" x14ac:dyDescent="0.4">
      <c r="A20" s="135"/>
      <c r="B20" s="128" t="s">
        <v>185</v>
      </c>
      <c r="C20" s="127"/>
      <c r="D20" s="127"/>
      <c r="E20" s="127"/>
      <c r="F20" s="127"/>
      <c r="G20" s="127"/>
      <c r="H20" s="127"/>
      <c r="I20" s="127"/>
      <c r="J20" s="123"/>
    </row>
    <row r="21" spans="1:10" ht="30" x14ac:dyDescent="0.4">
      <c r="A21" s="135"/>
      <c r="B21" s="128"/>
      <c r="C21" s="127"/>
      <c r="D21" s="127"/>
      <c r="E21" s="127"/>
      <c r="F21" s="127"/>
      <c r="G21" s="127"/>
      <c r="H21" s="127"/>
      <c r="I21" s="127"/>
      <c r="J21" s="123"/>
    </row>
    <row r="22" spans="1:10" ht="30" x14ac:dyDescent="0.4">
      <c r="A22" s="135"/>
      <c r="B22" s="128" t="s">
        <v>226</v>
      </c>
      <c r="C22" s="127"/>
      <c r="D22" s="127"/>
      <c r="E22" s="127"/>
      <c r="F22" s="127"/>
      <c r="G22" s="127"/>
      <c r="H22" s="127"/>
      <c r="I22" s="127"/>
      <c r="J22" s="123"/>
    </row>
    <row r="23" spans="1:10" ht="30" x14ac:dyDescent="0.4">
      <c r="A23" s="135"/>
      <c r="B23" s="128"/>
      <c r="C23" s="127"/>
      <c r="D23" s="127"/>
      <c r="E23" s="127"/>
      <c r="F23" s="127"/>
      <c r="G23" s="127"/>
      <c r="H23" s="127"/>
      <c r="I23" s="127"/>
      <c r="J23" s="123"/>
    </row>
    <row r="24" spans="1:10" ht="30" x14ac:dyDescent="0.4">
      <c r="A24" s="135"/>
      <c r="B24" s="128" t="s">
        <v>186</v>
      </c>
      <c r="C24" s="127"/>
      <c r="D24" s="127"/>
      <c r="E24" s="127"/>
      <c r="F24" s="127"/>
      <c r="G24" s="127"/>
      <c r="H24" s="127"/>
      <c r="I24" s="127"/>
      <c r="J24" s="123"/>
    </row>
    <row r="25" spans="1:10" ht="30" x14ac:dyDescent="0.4">
      <c r="A25" s="135"/>
      <c r="B25" s="128"/>
      <c r="C25" s="127"/>
      <c r="D25" s="127"/>
      <c r="E25" s="127"/>
      <c r="F25" s="127"/>
      <c r="G25" s="127"/>
      <c r="H25" s="127"/>
      <c r="I25" s="127"/>
      <c r="J25" s="123"/>
    </row>
    <row r="26" spans="1:10" ht="20.25" x14ac:dyDescent="0.3">
      <c r="A26" s="135"/>
      <c r="B26" s="139" t="s">
        <v>227</v>
      </c>
      <c r="C26" s="127"/>
      <c r="D26" s="127"/>
      <c r="E26" s="127"/>
      <c r="F26" s="127"/>
      <c r="G26" s="127"/>
      <c r="H26" s="127"/>
      <c r="I26" s="127"/>
      <c r="J26" s="123"/>
    </row>
    <row r="27" spans="1:10" ht="30" x14ac:dyDescent="0.4">
      <c r="A27" s="135"/>
      <c r="B27" s="128"/>
      <c r="C27" s="127"/>
      <c r="D27" s="127"/>
      <c r="E27" s="127"/>
      <c r="F27" s="127"/>
      <c r="G27" s="127"/>
      <c r="H27" s="127"/>
      <c r="I27" s="127"/>
      <c r="J27" s="123"/>
    </row>
    <row r="28" spans="1:10" x14ac:dyDescent="0.2">
      <c r="A28" s="135"/>
      <c r="B28" s="140"/>
      <c r="C28" s="127"/>
      <c r="D28" s="127"/>
      <c r="E28" s="127"/>
      <c r="F28" s="127"/>
      <c r="G28" s="127"/>
      <c r="H28" s="127"/>
      <c r="I28" s="127"/>
      <c r="J28" s="123"/>
    </row>
    <row r="29" spans="1:10" x14ac:dyDescent="0.2">
      <c r="A29" s="135"/>
      <c r="B29" s="140"/>
      <c r="C29" s="127"/>
      <c r="D29" s="127"/>
      <c r="E29" s="127"/>
      <c r="F29" s="127"/>
      <c r="G29" s="127"/>
      <c r="H29" s="127"/>
      <c r="I29" s="127"/>
      <c r="J29" s="123"/>
    </row>
    <row r="30" spans="1:10" x14ac:dyDescent="0.2">
      <c r="A30" s="135"/>
      <c r="B30" s="141"/>
      <c r="C30" s="136"/>
      <c r="D30" s="136"/>
      <c r="E30" s="136"/>
      <c r="F30" s="136"/>
      <c r="G30" s="136"/>
      <c r="H30" s="136"/>
      <c r="I30" s="136"/>
      <c r="J30" s="123"/>
    </row>
    <row r="31" spans="1:10" ht="15.75" thickBot="1" x14ac:dyDescent="0.25">
      <c r="A31" s="135"/>
      <c r="B31" s="142"/>
      <c r="C31" s="143"/>
      <c r="D31" s="143"/>
      <c r="E31" s="143"/>
      <c r="F31" s="143"/>
      <c r="G31" s="143"/>
      <c r="H31" s="143"/>
      <c r="I31" s="143"/>
      <c r="J31" s="133"/>
    </row>
    <row r="32" spans="1:10" ht="15.75" thickBot="1" x14ac:dyDescent="0.25">
      <c r="A32" s="135"/>
      <c r="B32" s="144"/>
      <c r="C32" s="144"/>
      <c r="D32" s="144"/>
      <c r="E32" s="144"/>
      <c r="F32" s="144"/>
      <c r="G32" s="144"/>
      <c r="H32" s="144"/>
      <c r="I32" s="144"/>
    </row>
    <row r="33" spans="1:10" x14ac:dyDescent="0.2">
      <c r="A33" s="135"/>
      <c r="B33" s="145"/>
      <c r="C33" s="146"/>
      <c r="D33" s="146"/>
      <c r="E33" s="146"/>
      <c r="F33" s="146"/>
      <c r="G33" s="146"/>
      <c r="H33" s="146"/>
      <c r="I33" s="146"/>
      <c r="J33" s="120"/>
    </row>
    <row r="34" spans="1:10" ht="22.5" x14ac:dyDescent="0.3">
      <c r="A34" s="135"/>
      <c r="B34" s="147"/>
      <c r="C34" s="126"/>
      <c r="D34" s="127"/>
      <c r="E34" s="127"/>
      <c r="F34" s="127"/>
      <c r="G34" s="127"/>
      <c r="H34" s="127"/>
      <c r="I34" s="127"/>
      <c r="J34" s="123"/>
    </row>
    <row r="35" spans="1:10" ht="22.5" x14ac:dyDescent="0.3">
      <c r="A35" s="135"/>
      <c r="B35" s="148"/>
      <c r="C35" s="126"/>
      <c r="D35" s="127"/>
      <c r="E35" s="127"/>
      <c r="F35" s="127"/>
      <c r="G35" s="127"/>
      <c r="H35" s="127"/>
      <c r="I35" s="127"/>
      <c r="J35" s="123"/>
    </row>
    <row r="36" spans="1:10" ht="18.75" thickBot="1" x14ac:dyDescent="0.3">
      <c r="A36" s="135"/>
      <c r="B36" s="130"/>
      <c r="C36" s="131"/>
      <c r="D36" s="132"/>
      <c r="E36" s="132"/>
      <c r="F36" s="132"/>
      <c r="G36" s="132"/>
      <c r="H36" s="132"/>
      <c r="I36" s="132"/>
      <c r="J36" s="133"/>
    </row>
    <row r="37" spans="1:10" ht="18" x14ac:dyDescent="0.25">
      <c r="A37" s="135"/>
      <c r="B37" s="149"/>
      <c r="C37" s="149"/>
      <c r="D37" s="144"/>
      <c r="E37" s="144"/>
      <c r="F37" s="144"/>
      <c r="G37" s="144"/>
      <c r="H37" s="144"/>
      <c r="I37" s="144"/>
    </row>
    <row r="38" spans="1:10" ht="18" x14ac:dyDescent="0.25">
      <c r="B38" s="150"/>
      <c r="C38" s="150"/>
    </row>
    <row r="39" spans="1:10" ht="18" x14ac:dyDescent="0.25">
      <c r="B39" s="150"/>
      <c r="C39" s="150"/>
    </row>
    <row r="40" spans="1:10" ht="18" x14ac:dyDescent="0.25">
      <c r="B40" s="150"/>
      <c r="C40" s="150"/>
    </row>
    <row r="41" spans="1:10" ht="18" x14ac:dyDescent="0.25">
      <c r="B41" s="150"/>
      <c r="C41" s="150"/>
    </row>
  </sheetData>
  <pageMargins left="0.5" right="0.25" top="0.75" bottom="0.75" header="0.5" footer="0.5"/>
  <pageSetup scale="90" orientation="portrait" r:id="rId1"/>
  <headerFooter alignWithMargins="0"/>
  <rowBreaks count="2" manualBreakCount="2">
    <brk id="33" max="10" man="1"/>
    <brk id="3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6"/>
  <sheetViews>
    <sheetView zoomScale="91" zoomScaleNormal="91" workbookViewId="0">
      <selection activeCell="H8" sqref="H8"/>
    </sheetView>
  </sheetViews>
  <sheetFormatPr defaultColWidth="9.140625" defaultRowHeight="15" x14ac:dyDescent="0.25"/>
  <cols>
    <col min="1" max="1" width="5.85546875" style="337" customWidth="1"/>
    <col min="2" max="2" width="5.5703125" style="56" customWidth="1"/>
    <col min="3" max="3" width="40.42578125" style="56" customWidth="1"/>
    <col min="4" max="4" width="15.5703125" style="29" customWidth="1"/>
    <col min="5" max="5" width="16.85546875" style="29" customWidth="1"/>
    <col min="6" max="6" width="16.140625" style="29" hidden="1" customWidth="1"/>
    <col min="7" max="7" width="16.7109375" style="29" bestFit="1" customWidth="1"/>
    <col min="8" max="8" width="16.7109375" style="56" customWidth="1"/>
    <col min="9" max="9" width="9.140625" style="56"/>
    <col min="10" max="16" width="0" style="56" hidden="1" customWidth="1"/>
    <col min="17" max="21" width="9.140625" style="56"/>
    <col min="22" max="22" width="9.140625" style="56" customWidth="1"/>
    <col min="23" max="16384" width="9.140625" style="56"/>
  </cols>
  <sheetData>
    <row r="1" spans="1:17" x14ac:dyDescent="0.25">
      <c r="B1" s="98"/>
      <c r="C1" s="361" t="s">
        <v>0</v>
      </c>
      <c r="D1" s="361"/>
      <c r="E1" s="361"/>
      <c r="F1" s="361"/>
      <c r="G1" s="361"/>
      <c r="H1" s="361"/>
      <c r="I1" s="5"/>
    </row>
    <row r="2" spans="1:17" x14ac:dyDescent="0.25">
      <c r="B2" s="98"/>
      <c r="C2" s="361" t="s">
        <v>150</v>
      </c>
      <c r="D2" s="361"/>
      <c r="E2" s="361"/>
      <c r="F2" s="361"/>
      <c r="G2" s="361"/>
      <c r="H2" s="361"/>
      <c r="I2" s="5"/>
    </row>
    <row r="3" spans="1:17" x14ac:dyDescent="0.25">
      <c r="B3" s="98"/>
      <c r="C3" s="18"/>
      <c r="D3" s="18"/>
      <c r="E3" s="18"/>
      <c r="F3" s="78"/>
      <c r="G3" s="82"/>
      <c r="H3" s="39" t="s">
        <v>172</v>
      </c>
      <c r="I3" s="5"/>
    </row>
    <row r="4" spans="1:17" x14ac:dyDescent="0.25">
      <c r="B4" s="98"/>
      <c r="C4" s="8"/>
      <c r="D4" s="69"/>
      <c r="E4" s="69"/>
      <c r="F4" s="69"/>
      <c r="G4" s="69"/>
      <c r="H4" s="51" t="s">
        <v>224</v>
      </c>
      <c r="I4" s="5"/>
    </row>
    <row r="5" spans="1:17" x14ac:dyDescent="0.25">
      <c r="B5" s="98"/>
      <c r="C5" s="9"/>
      <c r="D5" s="51" t="s">
        <v>1</v>
      </c>
      <c r="E5" s="51"/>
      <c r="F5" s="51"/>
      <c r="G5" s="51"/>
      <c r="H5" s="51" t="s">
        <v>173</v>
      </c>
      <c r="I5" s="5"/>
    </row>
    <row r="6" spans="1:17" x14ac:dyDescent="0.25">
      <c r="B6" s="98"/>
      <c r="C6" s="9"/>
      <c r="D6" s="101" t="s">
        <v>45</v>
      </c>
      <c r="E6" s="151" t="s">
        <v>154</v>
      </c>
      <c r="F6" s="51" t="s">
        <v>157</v>
      </c>
      <c r="G6" s="3" t="s">
        <v>154</v>
      </c>
      <c r="H6" s="51" t="s">
        <v>225</v>
      </c>
      <c r="I6" s="5"/>
    </row>
    <row r="7" spans="1:17" x14ac:dyDescent="0.25">
      <c r="B7" s="98"/>
      <c r="C7" s="85"/>
      <c r="D7" s="63" t="s">
        <v>174</v>
      </c>
      <c r="E7" s="62" t="s">
        <v>212</v>
      </c>
      <c r="F7" s="53" t="s">
        <v>170</v>
      </c>
      <c r="G7" s="62" t="s">
        <v>221</v>
      </c>
      <c r="H7" s="53" t="s">
        <v>154</v>
      </c>
      <c r="I7" s="5"/>
    </row>
    <row r="8" spans="1:17" x14ac:dyDescent="0.25">
      <c r="A8" s="337" t="s">
        <v>238</v>
      </c>
      <c r="B8" s="98"/>
      <c r="C8" s="2" t="s">
        <v>3</v>
      </c>
      <c r="D8" s="74"/>
      <c r="E8" s="84"/>
      <c r="F8" s="74"/>
      <c r="G8" s="85"/>
      <c r="H8" s="74"/>
      <c r="I8" s="5"/>
    </row>
    <row r="9" spans="1:17" x14ac:dyDescent="0.25">
      <c r="A9" s="337">
        <v>1</v>
      </c>
      <c r="B9" s="98">
        <v>57</v>
      </c>
      <c r="C9" s="46" t="s">
        <v>36</v>
      </c>
      <c r="D9" s="68">
        <f>ROUND(SUM('GF Rev by Obj'!D8:D10),0)</f>
        <v>403544058</v>
      </c>
      <c r="E9" s="48">
        <f>ROUND(SUM('GF Rev by Obj'!F8:F10),0)</f>
        <v>412745478</v>
      </c>
      <c r="F9" s="48">
        <f>+'GF Rev by Obj'!H8+'GF Rev by Obj'!H9+'GF Rev by Obj'!H10</f>
        <v>340106257.41000003</v>
      </c>
      <c r="G9" s="48">
        <f>'comb funds by func'!D10</f>
        <v>438366366</v>
      </c>
      <c r="H9" s="48">
        <f>+G9-E9</f>
        <v>25620888</v>
      </c>
      <c r="I9" s="5"/>
      <c r="Q9" s="56" t="s">
        <v>229</v>
      </c>
    </row>
    <row r="10" spans="1:17" x14ac:dyDescent="0.25">
      <c r="A10" s="337">
        <v>2</v>
      </c>
      <c r="B10" s="98">
        <v>57</v>
      </c>
      <c r="C10" s="46" t="s">
        <v>37</v>
      </c>
      <c r="D10" s="65">
        <f>ROUND(SUM('GF Rev by Obj'!D11:D23),0)</f>
        <v>17752251</v>
      </c>
      <c r="E10" s="55">
        <f>ROUND(SUM('GF Rev by Obj'!F11:F23),0)</f>
        <v>15624315</v>
      </c>
      <c r="F10" s="55">
        <f>+'GF Rev by Obj'!H24-'GF by funct '!F9</f>
        <v>10688132.640000045</v>
      </c>
      <c r="G10" s="55">
        <f>'GF Rev by Obj'!I11+'GF Rev by Obj'!I12+'GF Rev by Obj'!I13+'GF Rev by Obj'!I16+'GF Rev by Obj'!I18+'GF Rev by Obj'!I19+'GF Rev by Obj'!I22+'GF Rev by Obj'!I49</f>
        <v>15918603</v>
      </c>
      <c r="H10" s="55">
        <f>+G10-E10</f>
        <v>294288</v>
      </c>
      <c r="I10" s="5"/>
    </row>
    <row r="11" spans="1:17" x14ac:dyDescent="0.25">
      <c r="A11" s="337">
        <v>3</v>
      </c>
      <c r="B11" s="98">
        <v>58</v>
      </c>
      <c r="C11" s="46" t="s">
        <v>38</v>
      </c>
      <c r="D11" s="65">
        <f>ROUND(SUM('GF Rev by Obj'!D27:D32),0)</f>
        <v>67319894</v>
      </c>
      <c r="E11" s="67">
        <f>ROUND(SUM('GF Rev by Obj'!F27:F32),0)</f>
        <v>54426648</v>
      </c>
      <c r="F11" s="86">
        <f>+'GF Rev by Obj'!H33</f>
        <v>68640250.579999998</v>
      </c>
      <c r="G11" s="86">
        <f>ROUND(SUM('GF Rev by Obj'!I27:I32),0)</f>
        <v>66397489</v>
      </c>
      <c r="H11" s="55">
        <f t="shared" ref="H11:H12" si="0">+G11-E11</f>
        <v>11970841</v>
      </c>
      <c r="I11" s="5"/>
      <c r="Q11" s="56" t="s">
        <v>228</v>
      </c>
    </row>
    <row r="12" spans="1:17" x14ac:dyDescent="0.25">
      <c r="A12" s="337">
        <v>4</v>
      </c>
      <c r="B12" s="98">
        <v>59</v>
      </c>
      <c r="C12" s="46" t="s">
        <v>42</v>
      </c>
      <c r="D12" s="65">
        <f>ROUND(SUM('GF Rev by Obj'!D36:D40),0)</f>
        <v>10496526</v>
      </c>
      <c r="E12" s="67">
        <f>ROUND(SUM('GF Rev by Obj'!F36:F41),0)</f>
        <v>6699000</v>
      </c>
      <c r="F12" s="67">
        <f>+'GF Rev by Obj'!H42</f>
        <v>6607038.4800000004</v>
      </c>
      <c r="G12" s="67">
        <f>ROUND(SUM('GF Rev by Obj'!I36:I41),0)</f>
        <v>9994113</v>
      </c>
      <c r="H12" s="55">
        <f t="shared" si="0"/>
        <v>3295113</v>
      </c>
      <c r="I12" s="5"/>
      <c r="Q12" s="56" t="s">
        <v>230</v>
      </c>
    </row>
    <row r="13" spans="1:17" x14ac:dyDescent="0.25">
      <c r="A13" s="337">
        <v>5</v>
      </c>
      <c r="B13" s="98"/>
      <c r="C13" s="40" t="s">
        <v>191</v>
      </c>
      <c r="D13" s="87">
        <f>SUM(D9:D12)</f>
        <v>499112729</v>
      </c>
      <c r="E13" s="87">
        <f t="shared" ref="E13" si="1">SUM(E9:E12)</f>
        <v>489495441</v>
      </c>
      <c r="F13" s="87">
        <f>SUM(F9:F12)</f>
        <v>426041679.11000007</v>
      </c>
      <c r="G13" s="87">
        <f>SUM(G9:G12)</f>
        <v>530676571</v>
      </c>
      <c r="H13" s="298">
        <f>SUM(H9:H12)</f>
        <v>41181130</v>
      </c>
      <c r="I13" s="5"/>
      <c r="Q13" s="56" t="s">
        <v>231</v>
      </c>
    </row>
    <row r="14" spans="1:17" x14ac:dyDescent="0.25">
      <c r="B14" s="98"/>
      <c r="C14" s="85"/>
      <c r="D14" s="99"/>
      <c r="E14" s="84"/>
      <c r="F14" s="74"/>
      <c r="G14" s="74"/>
      <c r="H14" s="74"/>
      <c r="I14" s="5"/>
    </row>
    <row r="15" spans="1:17" x14ac:dyDescent="0.25">
      <c r="B15" s="98"/>
      <c r="C15" s="2" t="s">
        <v>4</v>
      </c>
      <c r="D15" s="99"/>
      <c r="E15" s="84"/>
      <c r="F15" s="74"/>
      <c r="G15" s="74"/>
      <c r="H15" s="74"/>
      <c r="I15" s="5"/>
    </row>
    <row r="16" spans="1:17" x14ac:dyDescent="0.25">
      <c r="A16" s="337">
        <v>6</v>
      </c>
      <c r="B16" s="98">
        <v>11</v>
      </c>
      <c r="C16" s="75" t="s">
        <v>5</v>
      </c>
      <c r="D16" s="65">
        <v>281538703</v>
      </c>
      <c r="E16" s="65">
        <f>'GF Exp by Func &amp; Mj Obj '!D14</f>
        <v>293273194</v>
      </c>
      <c r="F16" s="55">
        <f>250400383.36+1130569.45+209709.09</f>
        <v>251740661.90000001</v>
      </c>
      <c r="G16" s="65">
        <f>'GF Exp by Func &amp; Mj Obj '!F14</f>
        <v>311727753.00000012</v>
      </c>
      <c r="H16" s="55">
        <f>+G16-E16</f>
        <v>18454559.000000119</v>
      </c>
      <c r="I16" s="5"/>
      <c r="Q16" s="56" t="s">
        <v>236</v>
      </c>
    </row>
    <row r="17" spans="1:17" x14ac:dyDescent="0.25">
      <c r="A17" s="337">
        <v>7</v>
      </c>
      <c r="B17" s="98">
        <v>12</v>
      </c>
      <c r="C17" s="75" t="s">
        <v>6</v>
      </c>
      <c r="D17" s="65">
        <v>6438270</v>
      </c>
      <c r="E17" s="65">
        <f>'GF Exp by Func &amp; Mj Obj '!D21</f>
        <v>6465934</v>
      </c>
      <c r="F17" s="55">
        <f>5814724.33+25963.26</f>
        <v>5840687.5899999999</v>
      </c>
      <c r="G17" s="65">
        <f>'GF Exp by Func &amp; Mj Obj '!F21</f>
        <v>6633367</v>
      </c>
      <c r="H17" s="55">
        <f t="shared" ref="H17:H37" si="2">+G17-E17</f>
        <v>167433</v>
      </c>
      <c r="I17" s="5"/>
    </row>
    <row r="18" spans="1:17" x14ac:dyDescent="0.25">
      <c r="A18" s="337">
        <v>8</v>
      </c>
      <c r="B18" s="98">
        <v>13</v>
      </c>
      <c r="C18" s="75" t="s">
        <v>7</v>
      </c>
      <c r="D18" s="65">
        <v>2260659</v>
      </c>
      <c r="E18" s="65">
        <f>'GF Exp by Func &amp; Mj Obj '!D28</f>
        <v>2414835</v>
      </c>
      <c r="F18" s="55">
        <f>1794486.14+44257.66+5953.05</f>
        <v>1844696.8499999999</v>
      </c>
      <c r="G18" s="65">
        <f>'GF Exp by Func &amp; Mj Obj '!F28</f>
        <v>3478499</v>
      </c>
      <c r="H18" s="55">
        <f t="shared" si="2"/>
        <v>1063664</v>
      </c>
      <c r="I18" s="5"/>
      <c r="Q18" s="56" t="s">
        <v>237</v>
      </c>
    </row>
    <row r="19" spans="1:17" x14ac:dyDescent="0.25">
      <c r="A19" s="337">
        <v>9</v>
      </c>
      <c r="B19" s="98">
        <v>21</v>
      </c>
      <c r="C19" s="75" t="s">
        <v>8</v>
      </c>
      <c r="D19" s="65">
        <v>11157143</v>
      </c>
      <c r="E19" s="65">
        <f>'GF Exp by Func &amp; Mj Obj '!D35</f>
        <v>11003797</v>
      </c>
      <c r="F19" s="55">
        <f>8345619.99+25239.09+9358.83</f>
        <v>8380217.9100000001</v>
      </c>
      <c r="G19" s="65">
        <f>'GF Exp by Func &amp; Mj Obj '!F35</f>
        <v>11877813</v>
      </c>
      <c r="H19" s="55">
        <f t="shared" si="2"/>
        <v>874016</v>
      </c>
      <c r="I19" s="5"/>
    </row>
    <row r="20" spans="1:17" x14ac:dyDescent="0.25">
      <c r="A20" s="337">
        <v>10</v>
      </c>
      <c r="B20" s="98">
        <v>23</v>
      </c>
      <c r="C20" s="75" t="s">
        <v>9</v>
      </c>
      <c r="D20" s="65">
        <v>30969885</v>
      </c>
      <c r="E20" s="65">
        <f>'GF Exp by Func &amp; Mj Obj '!D42</f>
        <v>31911220</v>
      </c>
      <c r="F20" s="55">
        <f>27280216.66+37261.82+2596.94</f>
        <v>27320075.420000002</v>
      </c>
      <c r="G20" s="65">
        <f>'GF Exp by Func &amp; Mj Obj '!F42</f>
        <v>32687639</v>
      </c>
      <c r="H20" s="55">
        <f t="shared" si="2"/>
        <v>776419</v>
      </c>
      <c r="I20" s="5"/>
    </row>
    <row r="21" spans="1:17" x14ac:dyDescent="0.25">
      <c r="A21" s="337">
        <v>11</v>
      </c>
      <c r="B21" s="98">
        <v>31</v>
      </c>
      <c r="C21" s="75" t="s">
        <v>10</v>
      </c>
      <c r="D21" s="65">
        <v>21581387</v>
      </c>
      <c r="E21" s="65">
        <f>'GF Exp by Func &amp; Mj Obj '!D49</f>
        <v>23375391</v>
      </c>
      <c r="F21" s="55">
        <f>17672092.61+27695.72+2957.4</f>
        <v>17702745.729999997</v>
      </c>
      <c r="G21" s="65">
        <f>'GF Exp by Func &amp; Mj Obj '!F49</f>
        <v>24064740</v>
      </c>
      <c r="H21" s="55">
        <f t="shared" si="2"/>
        <v>689349</v>
      </c>
      <c r="I21" s="5"/>
    </row>
    <row r="22" spans="1:17" x14ac:dyDescent="0.25">
      <c r="A22" s="337">
        <v>12</v>
      </c>
      <c r="B22" s="98">
        <v>32</v>
      </c>
      <c r="C22" s="75" t="s">
        <v>11</v>
      </c>
      <c r="D22" s="65">
        <v>443684</v>
      </c>
      <c r="E22" s="65">
        <f>'GF Exp by Func &amp; Mj Obj '!D62</f>
        <v>238327</v>
      </c>
      <c r="F22" s="55">
        <f>882531.74+4177.2</f>
        <v>886708.94</v>
      </c>
      <c r="G22" s="65">
        <f>'GF Exp by Func &amp; Mj Obj '!F62</f>
        <v>404482</v>
      </c>
      <c r="H22" s="55">
        <f t="shared" si="2"/>
        <v>166155</v>
      </c>
      <c r="I22" s="5"/>
    </row>
    <row r="23" spans="1:17" x14ac:dyDescent="0.25">
      <c r="A23" s="337">
        <v>13</v>
      </c>
      <c r="B23" s="98">
        <v>33</v>
      </c>
      <c r="C23" s="75" t="s">
        <v>12</v>
      </c>
      <c r="D23" s="65">
        <v>5447812</v>
      </c>
      <c r="E23" s="65">
        <f>'GF Exp by Func &amp; Mj Obj '!D69</f>
        <v>5594606</v>
      </c>
      <c r="F23" s="55">
        <f>4740397.6+6234.27+7.08</f>
        <v>4746638.9499999993</v>
      </c>
      <c r="G23" s="65">
        <f>'GF Exp by Func &amp; Mj Obj '!F69</f>
        <v>5726308</v>
      </c>
      <c r="H23" s="55">
        <f t="shared" si="2"/>
        <v>131702</v>
      </c>
      <c r="I23" s="5"/>
    </row>
    <row r="24" spans="1:17" x14ac:dyDescent="0.25">
      <c r="A24" s="337">
        <v>14</v>
      </c>
      <c r="B24" s="98">
        <v>34</v>
      </c>
      <c r="C24" s="75" t="s">
        <v>13</v>
      </c>
      <c r="D24" s="65">
        <v>15143793</v>
      </c>
      <c r="E24" s="65">
        <f>'GF Exp by Func &amp; Mj Obj '!D74</f>
        <v>16090184</v>
      </c>
      <c r="F24" s="55">
        <f>13071453.53+4042.13</f>
        <v>13075495.66</v>
      </c>
      <c r="G24" s="65">
        <f>'GF Exp by Func &amp; Mj Obj '!F74</f>
        <v>15469983</v>
      </c>
      <c r="H24" s="55">
        <f t="shared" si="2"/>
        <v>-620201</v>
      </c>
      <c r="I24" s="5"/>
      <c r="Q24" s="56" t="s">
        <v>239</v>
      </c>
    </row>
    <row r="25" spans="1:17" x14ac:dyDescent="0.25">
      <c r="A25" s="337">
        <v>15</v>
      </c>
      <c r="B25" s="98">
        <v>35</v>
      </c>
      <c r="C25" s="75" t="s">
        <v>14</v>
      </c>
      <c r="D25" s="65">
        <v>34051</v>
      </c>
      <c r="E25" s="65">
        <f>'GF Exp by Func &amp; Mj Obj '!D82</f>
        <v>36646</v>
      </c>
      <c r="F25" s="55">
        <f>58137.95</f>
        <v>58137.95</v>
      </c>
      <c r="G25" s="65">
        <f>'GF Exp by Func &amp; Mj Obj '!F82</f>
        <v>48777</v>
      </c>
      <c r="H25" s="55">
        <f t="shared" si="2"/>
        <v>12131</v>
      </c>
      <c r="I25" s="5"/>
    </row>
    <row r="26" spans="1:17" x14ac:dyDescent="0.25">
      <c r="A26" s="337">
        <v>16</v>
      </c>
      <c r="B26" s="98">
        <v>36</v>
      </c>
      <c r="C26" s="75" t="s">
        <v>15</v>
      </c>
      <c r="D26" s="65">
        <v>10293651</v>
      </c>
      <c r="E26" s="65">
        <f>'GF Exp by Func &amp; Mj Obj '!D90</f>
        <v>12216127</v>
      </c>
      <c r="F26" s="55">
        <f>9625460.54+297750.93+3086.26</f>
        <v>9926297.7299999986</v>
      </c>
      <c r="G26" s="65">
        <f>'GF Exp by Func &amp; Mj Obj '!F90</f>
        <v>12418867</v>
      </c>
      <c r="H26" s="55">
        <f t="shared" si="2"/>
        <v>202740</v>
      </c>
      <c r="I26" s="5"/>
      <c r="Q26" s="56" t="s">
        <v>234</v>
      </c>
    </row>
    <row r="27" spans="1:17" x14ac:dyDescent="0.25">
      <c r="A27" s="337">
        <v>17</v>
      </c>
      <c r="B27" s="98">
        <v>41</v>
      </c>
      <c r="C27" s="75" t="s">
        <v>16</v>
      </c>
      <c r="D27" s="65">
        <v>9615861</v>
      </c>
      <c r="E27" s="65">
        <f>'GF Exp by Func &amp; Mj Obj '!D97</f>
        <v>11153664</v>
      </c>
      <c r="F27" s="55">
        <f>8618600.5+139318.83+5504.88</f>
        <v>8763424.2100000009</v>
      </c>
      <c r="G27" s="65">
        <f>'GF Exp by Func &amp; Mj Obj '!F97</f>
        <v>11565520</v>
      </c>
      <c r="H27" s="55">
        <f t="shared" si="2"/>
        <v>411856</v>
      </c>
      <c r="I27" s="5"/>
      <c r="Q27" s="56" t="s">
        <v>235</v>
      </c>
    </row>
    <row r="28" spans="1:17" x14ac:dyDescent="0.25">
      <c r="A28" s="337">
        <v>18</v>
      </c>
      <c r="B28" s="98">
        <v>51</v>
      </c>
      <c r="C28" s="75" t="s">
        <v>17</v>
      </c>
      <c r="D28" s="65">
        <v>39692951</v>
      </c>
      <c r="E28" s="65">
        <f>'GF Exp by Func &amp; Mj Obj '!D105</f>
        <v>43425543</v>
      </c>
      <c r="F28" s="55">
        <f>29174837.07+2425224.96+2294125.51</f>
        <v>33894187.539999999</v>
      </c>
      <c r="G28" s="65">
        <f>'GF Exp by Func &amp; Mj Obj '!F105</f>
        <v>44310942</v>
      </c>
      <c r="H28" s="55">
        <f t="shared" si="2"/>
        <v>885399</v>
      </c>
      <c r="I28" s="5"/>
      <c r="Q28" s="56" t="s">
        <v>240</v>
      </c>
    </row>
    <row r="29" spans="1:17" x14ac:dyDescent="0.25">
      <c r="A29" s="337">
        <v>19</v>
      </c>
      <c r="B29" s="98">
        <v>52</v>
      </c>
      <c r="C29" s="75" t="s">
        <v>18</v>
      </c>
      <c r="D29" s="65">
        <v>2504450</v>
      </c>
      <c r="E29" s="65">
        <f>'GF Exp by Func &amp; Mj Obj '!D120</f>
        <v>3368639</v>
      </c>
      <c r="F29" s="55">
        <f>1841394.27+178803.49</f>
        <v>2020197.76</v>
      </c>
      <c r="G29" s="65">
        <f>'GF Exp by Func &amp; Mj Obj '!F120</f>
        <v>3493183</v>
      </c>
      <c r="H29" s="55">
        <f t="shared" si="2"/>
        <v>124544</v>
      </c>
      <c r="I29" s="5"/>
    </row>
    <row r="30" spans="1:17" x14ac:dyDescent="0.25">
      <c r="A30" s="337">
        <v>20</v>
      </c>
      <c r="B30" s="98">
        <v>53</v>
      </c>
      <c r="C30" s="75" t="s">
        <v>19</v>
      </c>
      <c r="D30" s="65">
        <v>11364512</v>
      </c>
      <c r="E30" s="65">
        <f>'GF Exp by Func &amp; Mj Obj '!D128</f>
        <v>12184537</v>
      </c>
      <c r="F30" s="55">
        <f>8788849.2+210912.26+117966.87</f>
        <v>9117728.3299999982</v>
      </c>
      <c r="G30" s="65">
        <f>'GF Exp by Func &amp; Mj Obj '!F128</f>
        <v>12883234</v>
      </c>
      <c r="H30" s="55">
        <f t="shared" si="2"/>
        <v>698697</v>
      </c>
      <c r="I30" s="5"/>
    </row>
    <row r="31" spans="1:17" x14ac:dyDescent="0.25">
      <c r="A31" s="337">
        <v>21</v>
      </c>
      <c r="B31" s="98">
        <v>61</v>
      </c>
      <c r="C31" s="75" t="s">
        <v>20</v>
      </c>
      <c r="D31" s="65">
        <v>6897697</v>
      </c>
      <c r="E31" s="65">
        <f>'GF Exp by Func &amp; Mj Obj '!D135</f>
        <v>8804966</v>
      </c>
      <c r="F31" s="55">
        <f>5386295.69+19884.79+95.47</f>
        <v>5406275.9500000002</v>
      </c>
      <c r="G31" s="65">
        <f>'GF Exp by Func &amp; Mj Obj '!F135</f>
        <v>9565300</v>
      </c>
      <c r="H31" s="55">
        <f t="shared" si="2"/>
        <v>760334</v>
      </c>
      <c r="I31" s="5"/>
      <c r="Q31" s="56" t="s">
        <v>241</v>
      </c>
    </row>
    <row r="32" spans="1:17" x14ac:dyDescent="0.25">
      <c r="A32" s="337">
        <v>22</v>
      </c>
      <c r="B32" s="98">
        <v>71</v>
      </c>
      <c r="C32" s="75" t="s">
        <v>21</v>
      </c>
      <c r="D32" s="65">
        <v>0</v>
      </c>
      <c r="E32" s="65">
        <v>0</v>
      </c>
      <c r="F32" s="55">
        <f>658425.2</f>
        <v>658425.19999999995</v>
      </c>
      <c r="G32" s="65">
        <f>'GF Exp by Func &amp; Mj Obj '!F140</f>
        <v>0</v>
      </c>
      <c r="H32" s="55">
        <f t="shared" si="2"/>
        <v>0</v>
      </c>
      <c r="I32" s="5"/>
      <c r="J32" s="1"/>
    </row>
    <row r="33" spans="1:17" x14ac:dyDescent="0.25">
      <c r="A33" s="337">
        <v>23</v>
      </c>
      <c r="B33" s="98">
        <v>81</v>
      </c>
      <c r="C33" s="75" t="s">
        <v>22</v>
      </c>
      <c r="D33" s="65">
        <v>32613</v>
      </c>
      <c r="E33" s="65">
        <v>0</v>
      </c>
      <c r="F33" s="55">
        <v>42834</v>
      </c>
      <c r="G33" s="65">
        <v>0</v>
      </c>
      <c r="H33" s="55">
        <f t="shared" si="2"/>
        <v>0</v>
      </c>
      <c r="I33" s="5"/>
      <c r="J33" s="1" t="s">
        <v>168</v>
      </c>
    </row>
    <row r="34" spans="1:17" x14ac:dyDescent="0.25">
      <c r="A34" s="337">
        <v>24</v>
      </c>
      <c r="B34" s="98">
        <v>91</v>
      </c>
      <c r="C34" s="75" t="s">
        <v>179</v>
      </c>
      <c r="D34" s="65">
        <v>29971536</v>
      </c>
      <c r="E34" s="65">
        <f>'GF Exp by Func &amp; Mj Obj '!D144</f>
        <v>18603784</v>
      </c>
      <c r="F34" s="55"/>
      <c r="G34" s="65">
        <f>'GF Exp by Func &amp; Mj Obj '!F144</f>
        <v>32444332</v>
      </c>
      <c r="H34" s="55">
        <f t="shared" si="2"/>
        <v>13840548</v>
      </c>
      <c r="I34" s="5"/>
      <c r="J34" s="1"/>
      <c r="Q34" s="56" t="s">
        <v>233</v>
      </c>
    </row>
    <row r="35" spans="1:17" x14ac:dyDescent="0.25">
      <c r="A35" s="337">
        <v>25</v>
      </c>
      <c r="B35" s="98">
        <v>93</v>
      </c>
      <c r="C35" s="75" t="s">
        <v>23</v>
      </c>
      <c r="D35" s="65">
        <v>98400</v>
      </c>
      <c r="E35" s="65">
        <f>'GF Exp by Func &amp; Mj Obj '!D153</f>
        <v>210000</v>
      </c>
      <c r="F35" s="55">
        <v>210000</v>
      </c>
      <c r="G35" s="65">
        <f>'GF Exp by Func &amp; Mj Obj '!F153</f>
        <v>210000</v>
      </c>
      <c r="H35" s="55">
        <f t="shared" si="2"/>
        <v>0</v>
      </c>
      <c r="I35" s="5"/>
      <c r="J35" s="1"/>
    </row>
    <row r="36" spans="1:17" x14ac:dyDescent="0.25">
      <c r="A36" s="337">
        <v>26</v>
      </c>
      <c r="B36" s="98">
        <v>95</v>
      </c>
      <c r="C36" s="75" t="s">
        <v>193</v>
      </c>
      <c r="D36" s="65">
        <v>35060</v>
      </c>
      <c r="E36" s="65">
        <f>'GF Exp by Func &amp; Mj Obj '!D157</f>
        <v>200000</v>
      </c>
      <c r="F36" s="55">
        <v>200000</v>
      </c>
      <c r="G36" s="65">
        <f>'GF Exp by Func &amp; Mj Obj '!F157</f>
        <v>200000</v>
      </c>
      <c r="H36" s="55">
        <f t="shared" si="2"/>
        <v>0</v>
      </c>
      <c r="I36" s="5"/>
      <c r="J36" s="1"/>
    </row>
    <row r="37" spans="1:17" x14ac:dyDescent="0.25">
      <c r="A37" s="337">
        <v>27</v>
      </c>
      <c r="B37" s="98">
        <v>99</v>
      </c>
      <c r="C37" s="75" t="s">
        <v>24</v>
      </c>
      <c r="D37" s="65">
        <v>3169080</v>
      </c>
      <c r="E37" s="65">
        <f>'GF Exp by Func &amp; Mj Obj '!D161</f>
        <v>3662088</v>
      </c>
      <c r="F37" s="55">
        <v>2853235</v>
      </c>
      <c r="G37" s="65">
        <f>'GF Exp by Func &amp; Mj Obj '!F161</f>
        <v>3850000</v>
      </c>
      <c r="H37" s="55">
        <f t="shared" si="2"/>
        <v>187912</v>
      </c>
      <c r="I37" s="5"/>
      <c r="J37" s="1" t="s">
        <v>169</v>
      </c>
    </row>
    <row r="38" spans="1:17" x14ac:dyDescent="0.25">
      <c r="A38" s="337">
        <v>28</v>
      </c>
      <c r="B38" s="98"/>
      <c r="C38" s="2" t="s">
        <v>25</v>
      </c>
      <c r="D38" s="70">
        <f t="shared" ref="D38:E38" si="3">SUM(D16:D37)</f>
        <v>488691198</v>
      </c>
      <c r="E38" s="70">
        <f t="shared" si="3"/>
        <v>504233482</v>
      </c>
      <c r="F38" s="70">
        <f>SUM(F16:F37)</f>
        <v>404688672.62</v>
      </c>
      <c r="G38" s="70">
        <f>SUM(G16:G37)</f>
        <v>543060739.00000012</v>
      </c>
      <c r="H38" s="70">
        <f>SUM(H16:H37)</f>
        <v>38827257.000000119</v>
      </c>
      <c r="I38" s="5"/>
      <c r="J38" s="1"/>
      <c r="Q38" s="56" t="s">
        <v>232</v>
      </c>
    </row>
    <row r="39" spans="1:17" x14ac:dyDescent="0.25">
      <c r="B39" s="98"/>
      <c r="C39" s="85"/>
      <c r="D39" s="99"/>
      <c r="E39" s="84"/>
      <c r="F39" s="74"/>
      <c r="G39" s="74"/>
      <c r="H39" s="74"/>
      <c r="I39" s="5"/>
      <c r="J39" s="1"/>
    </row>
    <row r="40" spans="1:17" x14ac:dyDescent="0.25">
      <c r="B40" s="98"/>
      <c r="C40" s="85"/>
      <c r="D40" s="99"/>
      <c r="E40" s="84"/>
      <c r="F40" s="74"/>
      <c r="G40" s="74"/>
      <c r="H40" s="74"/>
      <c r="I40" s="5"/>
      <c r="J40" s="1"/>
    </row>
    <row r="41" spans="1:17" x14ac:dyDescent="0.25">
      <c r="B41" s="98"/>
      <c r="C41" s="2" t="s">
        <v>175</v>
      </c>
      <c r="D41" s="99"/>
      <c r="E41" s="84"/>
      <c r="F41" s="74"/>
      <c r="G41" s="74"/>
      <c r="H41" s="74"/>
      <c r="I41" s="5"/>
      <c r="J41" s="1"/>
    </row>
    <row r="42" spans="1:17" x14ac:dyDescent="0.25">
      <c r="A42" s="337">
        <v>29</v>
      </c>
      <c r="B42" s="98"/>
      <c r="C42" s="2" t="s">
        <v>176</v>
      </c>
      <c r="D42" s="89">
        <f t="shared" ref="D42:E42" si="4">+D13-D38</f>
        <v>10421531</v>
      </c>
      <c r="E42" s="89">
        <f t="shared" si="4"/>
        <v>-14738041</v>
      </c>
      <c r="F42" s="89">
        <f>+F13-F38</f>
        <v>21353006.490000069</v>
      </c>
      <c r="G42" s="89">
        <f>+G13-G38</f>
        <v>-12384168.000000119</v>
      </c>
      <c r="H42" s="89">
        <f>+H13-H38</f>
        <v>2353872.9999998808</v>
      </c>
      <c r="I42" s="5"/>
      <c r="J42" s="1"/>
    </row>
    <row r="43" spans="1:17" x14ac:dyDescent="0.25">
      <c r="B43" s="98"/>
      <c r="C43" s="2"/>
      <c r="D43" s="74"/>
      <c r="E43" s="84"/>
      <c r="F43" s="74"/>
      <c r="G43" s="85"/>
      <c r="H43" s="74"/>
      <c r="I43" s="5"/>
      <c r="J43" s="1"/>
    </row>
    <row r="44" spans="1:17" x14ac:dyDescent="0.25">
      <c r="B44" s="98"/>
      <c r="C44" s="2" t="s">
        <v>188</v>
      </c>
      <c r="D44" s="74"/>
      <c r="E44" s="84"/>
      <c r="F44" s="74"/>
      <c r="G44" s="85"/>
      <c r="H44" s="74"/>
      <c r="I44" s="5"/>
      <c r="J44" s="1"/>
    </row>
    <row r="45" spans="1:17" x14ac:dyDescent="0.25">
      <c r="A45" s="337">
        <v>30</v>
      </c>
      <c r="B45" s="98"/>
      <c r="C45" s="85" t="s">
        <v>29</v>
      </c>
      <c r="D45" s="65">
        <v>107217</v>
      </c>
      <c r="E45" s="288">
        <v>493490</v>
      </c>
      <c r="F45" s="288">
        <f>+'GF Rev by Obj'!H49</f>
        <v>0</v>
      </c>
      <c r="G45" s="288">
        <v>0</v>
      </c>
      <c r="H45" s="55">
        <f>+G45-E45</f>
        <v>-493490</v>
      </c>
      <c r="I45" s="5"/>
      <c r="J45" s="1"/>
    </row>
    <row r="46" spans="1:17" x14ac:dyDescent="0.25">
      <c r="A46" s="337">
        <v>31</v>
      </c>
      <c r="B46" s="98"/>
      <c r="C46" s="85" t="s">
        <v>30</v>
      </c>
      <c r="D46" s="65">
        <v>-11122</v>
      </c>
      <c r="E46" s="288">
        <v>0</v>
      </c>
      <c r="F46" s="288">
        <v>1700000</v>
      </c>
      <c r="G46" s="288">
        <v>0</v>
      </c>
      <c r="H46" s="55">
        <f>+G46-E46</f>
        <v>0</v>
      </c>
      <c r="I46" s="5"/>
      <c r="J46" s="1"/>
    </row>
    <row r="47" spans="1:17" x14ac:dyDescent="0.25">
      <c r="A47" s="337">
        <v>32</v>
      </c>
      <c r="B47" s="98"/>
      <c r="C47" s="16" t="s">
        <v>31</v>
      </c>
      <c r="D47" s="286">
        <f>SUM(D45:D46)</f>
        <v>96095</v>
      </c>
      <c r="E47" s="286">
        <f>SUM(E45:E46)</f>
        <v>493490</v>
      </c>
      <c r="F47" s="286">
        <f>+F45-F46</f>
        <v>-1700000</v>
      </c>
      <c r="G47" s="286">
        <f>SUM(G45:G46)</f>
        <v>0</v>
      </c>
      <c r="H47" s="286">
        <f>SUM(H45:H46)</f>
        <v>-493490</v>
      </c>
      <c r="I47" s="5"/>
      <c r="J47" s="1"/>
    </row>
    <row r="48" spans="1:17" x14ac:dyDescent="0.25">
      <c r="B48" s="98"/>
      <c r="C48" s="85"/>
      <c r="D48" s="99"/>
      <c r="E48" s="84"/>
      <c r="F48" s="74"/>
      <c r="G48" s="74"/>
      <c r="H48" s="74"/>
      <c r="I48" s="5"/>
    </row>
    <row r="49" spans="1:9" ht="15.75" thickBot="1" x14ac:dyDescent="0.3">
      <c r="A49" s="337">
        <v>33</v>
      </c>
      <c r="B49" s="98"/>
      <c r="C49" s="2" t="s">
        <v>158</v>
      </c>
      <c r="D49" s="116">
        <f>+D42+D47</f>
        <v>10517626</v>
      </c>
      <c r="E49" s="116">
        <f>+E42+E47</f>
        <v>-14244551</v>
      </c>
      <c r="F49" s="116">
        <v>4000000</v>
      </c>
      <c r="G49" s="116">
        <f>+G42+G47</f>
        <v>-12384168.000000119</v>
      </c>
      <c r="H49" s="116">
        <f>+H42+H47</f>
        <v>1860382.9999998808</v>
      </c>
      <c r="I49" s="5"/>
    </row>
    <row r="50" spans="1:9" ht="15.75" thickTop="1" x14ac:dyDescent="0.25">
      <c r="B50" s="98"/>
      <c r="C50" s="85"/>
      <c r="D50" s="99"/>
      <c r="E50" s="67"/>
      <c r="F50" s="67"/>
      <c r="G50" s="295"/>
      <c r="H50" s="67"/>
      <c r="I50" s="5"/>
    </row>
    <row r="51" spans="1:9" hidden="1" x14ac:dyDescent="0.25">
      <c r="B51" s="98"/>
      <c r="C51" s="46" t="s">
        <v>34</v>
      </c>
      <c r="D51" s="65">
        <v>158671093</v>
      </c>
      <c r="E51" s="92">
        <f>D52</f>
        <v>169188719</v>
      </c>
      <c r="F51" s="67">
        <f>D52</f>
        <v>169188719</v>
      </c>
      <c r="G51" s="296">
        <f>+F52</f>
        <v>173188719</v>
      </c>
      <c r="H51" s="93"/>
      <c r="I51" s="5"/>
    </row>
    <row r="52" spans="1:9" ht="15.75" hidden="1" thickBot="1" x14ac:dyDescent="0.3">
      <c r="B52" s="98"/>
      <c r="C52" s="2" t="s">
        <v>35</v>
      </c>
      <c r="D52" s="96">
        <f t="shared" ref="D52:E52" si="5">SUM(D49:D51)</f>
        <v>169188719</v>
      </c>
      <c r="E52" s="96">
        <f t="shared" si="5"/>
        <v>154944168</v>
      </c>
      <c r="F52" s="96">
        <f>SUM(F49:F51)</f>
        <v>173188719</v>
      </c>
      <c r="G52" s="297">
        <f>SUM(G49:G51)</f>
        <v>160804550.99999988</v>
      </c>
      <c r="H52" s="100"/>
      <c r="I52" s="5"/>
    </row>
    <row r="53" spans="1:9" hidden="1" x14ac:dyDescent="0.25">
      <c r="B53" s="98"/>
      <c r="C53" s="85"/>
      <c r="D53" s="74"/>
      <c r="E53" s="84"/>
      <c r="F53" s="74"/>
      <c r="G53" s="295"/>
      <c r="H53" s="83"/>
      <c r="I53" s="5"/>
    </row>
    <row r="54" spans="1:9" x14ac:dyDescent="0.25">
      <c r="B54" s="299"/>
      <c r="C54" s="300"/>
      <c r="D54" s="301"/>
      <c r="E54" s="301"/>
      <c r="F54" s="301"/>
      <c r="G54" s="302"/>
      <c r="H54" s="83"/>
    </row>
    <row r="55" spans="1:9" x14ac:dyDescent="0.25">
      <c r="B55" s="299"/>
      <c r="C55" s="299"/>
      <c r="D55" s="301"/>
      <c r="E55" s="301"/>
      <c r="F55" s="301"/>
      <c r="G55" s="302"/>
      <c r="H55" s="74"/>
    </row>
    <row r="56" spans="1:9" x14ac:dyDescent="0.25">
      <c r="B56" s="299"/>
      <c r="C56" s="299"/>
      <c r="D56" s="301"/>
      <c r="E56" s="301"/>
      <c r="F56" s="301"/>
      <c r="G56" s="302"/>
      <c r="H56" s="74"/>
    </row>
    <row r="57" spans="1:9" x14ac:dyDescent="0.25">
      <c r="B57" s="299"/>
      <c r="C57" s="299"/>
      <c r="D57" s="301"/>
      <c r="E57" s="301"/>
      <c r="F57" s="301"/>
      <c r="G57" s="302"/>
      <c r="H57" s="74"/>
    </row>
    <row r="58" spans="1:9" x14ac:dyDescent="0.25">
      <c r="B58" s="299"/>
      <c r="C58" s="300"/>
      <c r="D58" s="301"/>
      <c r="E58" s="301"/>
      <c r="F58" s="301"/>
      <c r="G58" s="303"/>
      <c r="H58" s="74"/>
    </row>
    <row r="59" spans="1:9" x14ac:dyDescent="0.25">
      <c r="B59" s="299"/>
      <c r="C59" s="299"/>
      <c r="D59" s="301"/>
      <c r="E59" s="301"/>
      <c r="F59" s="301"/>
      <c r="G59" s="301"/>
      <c r="H59" s="74"/>
    </row>
    <row r="60" spans="1:9" x14ac:dyDescent="0.25">
      <c r="B60" s="299"/>
      <c r="C60" s="299"/>
      <c r="D60" s="301"/>
      <c r="E60" s="301"/>
      <c r="F60" s="301"/>
      <c r="G60" s="301"/>
      <c r="H60" s="98"/>
    </row>
    <row r="61" spans="1:9" x14ac:dyDescent="0.25">
      <c r="B61" s="98"/>
      <c r="C61" s="98"/>
      <c r="D61" s="99"/>
      <c r="E61" s="99"/>
      <c r="F61" s="99"/>
      <c r="G61" s="99"/>
      <c r="H61" s="98"/>
    </row>
    <row r="62" spans="1:9" x14ac:dyDescent="0.25">
      <c r="B62" s="98"/>
      <c r="C62" s="98"/>
      <c r="D62" s="99"/>
      <c r="E62" s="99"/>
      <c r="F62" s="99"/>
      <c r="G62" s="99"/>
      <c r="H62" s="98"/>
    </row>
    <row r="63" spans="1:9" x14ac:dyDescent="0.25">
      <c r="B63" s="98"/>
      <c r="C63" s="98"/>
      <c r="D63" s="99"/>
      <c r="E63" s="99"/>
      <c r="F63" s="99"/>
      <c r="G63" s="102"/>
      <c r="H63" s="98"/>
    </row>
    <row r="64" spans="1:9" x14ac:dyDescent="0.25">
      <c r="B64" s="98"/>
      <c r="C64" s="98"/>
      <c r="D64" s="99"/>
      <c r="E64" s="99"/>
      <c r="F64" s="99"/>
      <c r="G64" s="99"/>
      <c r="H64" s="98"/>
    </row>
    <row r="65" spans="2:8" x14ac:dyDescent="0.25">
      <c r="B65" s="98"/>
      <c r="C65" s="98"/>
      <c r="D65" s="99"/>
      <c r="E65" s="99"/>
      <c r="F65" s="99"/>
      <c r="G65" s="99"/>
      <c r="H65" s="98"/>
    </row>
    <row r="66" spans="2:8" x14ac:dyDescent="0.25">
      <c r="B66" s="98"/>
      <c r="C66" s="98"/>
      <c r="D66" s="99"/>
      <c r="E66" s="99"/>
      <c r="F66" s="99"/>
      <c r="G66" s="99"/>
      <c r="H66" s="98"/>
    </row>
  </sheetData>
  <mergeCells count="2">
    <mergeCell ref="C1:H1"/>
    <mergeCell ref="C2:H2"/>
  </mergeCells>
  <pageMargins left="0.7" right="0.7" top="0.75" bottom="0.75" header="0.3" footer="0.3"/>
  <pageSetup scale="76" orientation="portrait" r:id="rId1"/>
  <headerFooter>
    <oddFooter>&amp;C&amp;"Arial,Regular"&amp;10 -2-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4585-9C15-4467-81B9-ED381157B5F9}">
  <sheetPr>
    <tabColor rgb="FFFF00FF"/>
  </sheetPr>
  <dimension ref="A1:AB66"/>
  <sheetViews>
    <sheetView topLeftCell="A7" zoomScaleNormal="100" workbookViewId="0">
      <selection activeCell="F9" sqref="F9"/>
    </sheetView>
  </sheetViews>
  <sheetFormatPr defaultColWidth="9.140625" defaultRowHeight="15" x14ac:dyDescent="0.25"/>
  <cols>
    <col min="1" max="1" width="5.5703125" style="56" customWidth="1"/>
    <col min="2" max="2" width="40.42578125" style="56" customWidth="1"/>
    <col min="3" max="3" width="15.5703125" style="29" customWidth="1"/>
    <col min="4" max="4" width="16.85546875" style="29" customWidth="1"/>
    <col min="5" max="5" width="16.140625" style="29" hidden="1" customWidth="1"/>
    <col min="6" max="6" width="16.7109375" style="29" bestFit="1" customWidth="1"/>
    <col min="7" max="7" width="18.140625" style="56" customWidth="1"/>
    <col min="8" max="8" width="9.140625" style="56"/>
    <col min="9" max="15" width="0" style="56" hidden="1" customWidth="1"/>
    <col min="16" max="16" width="9.140625" style="56"/>
    <col min="17" max="17" width="27.42578125" style="56" bestFit="1" customWidth="1"/>
    <col min="18" max="18" width="0.85546875" style="56" customWidth="1"/>
    <col min="19" max="19" width="9.140625" style="56"/>
    <col min="20" max="20" width="0.7109375" style="56" customWidth="1"/>
    <col min="21" max="21" width="9.140625" style="56"/>
    <col min="22" max="22" width="0.7109375" style="56" customWidth="1"/>
    <col min="23" max="23" width="9.140625" style="56" customWidth="1"/>
    <col min="24" max="24" width="0.85546875" style="56" customWidth="1"/>
    <col min="25" max="25" width="9.140625" style="56" customWidth="1"/>
    <col min="26" max="26" width="0.5703125" style="56" customWidth="1"/>
    <col min="27" max="16384" width="9.140625" style="56"/>
  </cols>
  <sheetData>
    <row r="1" spans="1:28" x14ac:dyDescent="0.25">
      <c r="A1" s="98"/>
      <c r="B1" s="361" t="s">
        <v>0</v>
      </c>
      <c r="C1" s="361"/>
      <c r="D1" s="361"/>
      <c r="E1" s="361"/>
      <c r="F1" s="361"/>
      <c r="G1" s="361"/>
      <c r="H1" s="5"/>
    </row>
    <row r="2" spans="1:28" x14ac:dyDescent="0.25">
      <c r="A2" s="98"/>
      <c r="B2" s="361" t="s">
        <v>150</v>
      </c>
      <c r="C2" s="361"/>
      <c r="D2" s="361"/>
      <c r="E2" s="361"/>
      <c r="F2" s="361"/>
      <c r="G2" s="361"/>
      <c r="H2" s="5"/>
    </row>
    <row r="3" spans="1:28" x14ac:dyDescent="0.25">
      <c r="A3" s="98"/>
      <c r="B3" s="18"/>
      <c r="C3" s="18"/>
      <c r="D3" s="18"/>
      <c r="E3" s="304"/>
      <c r="F3" s="82"/>
      <c r="G3" s="39" t="s">
        <v>172</v>
      </c>
      <c r="H3" s="5"/>
    </row>
    <row r="4" spans="1:28" x14ac:dyDescent="0.25">
      <c r="A4" s="98"/>
      <c r="B4" s="8"/>
      <c r="C4" s="69"/>
      <c r="D4" s="69"/>
      <c r="E4" s="69"/>
      <c r="F4" s="69"/>
      <c r="G4" s="51" t="s">
        <v>213</v>
      </c>
      <c r="H4" s="5"/>
    </row>
    <row r="5" spans="1:28" x14ac:dyDescent="0.25">
      <c r="A5" s="98"/>
      <c r="B5" s="9"/>
      <c r="C5" s="51" t="s">
        <v>1</v>
      </c>
      <c r="D5" s="51"/>
      <c r="E5" s="51"/>
      <c r="F5" s="51"/>
      <c r="G5" s="51" t="s">
        <v>173</v>
      </c>
      <c r="H5" s="5"/>
    </row>
    <row r="6" spans="1:28" x14ac:dyDescent="0.25">
      <c r="A6" s="98"/>
      <c r="B6" s="9"/>
      <c r="C6" s="101" t="s">
        <v>45</v>
      </c>
      <c r="D6" s="151" t="s">
        <v>154</v>
      </c>
      <c r="E6" s="51" t="s">
        <v>157</v>
      </c>
      <c r="F6" s="3" t="s">
        <v>211</v>
      </c>
      <c r="G6" s="51" t="s">
        <v>214</v>
      </c>
      <c r="H6" s="5"/>
    </row>
    <row r="7" spans="1:28" x14ac:dyDescent="0.25">
      <c r="A7" s="98"/>
      <c r="B7" s="85"/>
      <c r="C7" s="53" t="s">
        <v>171</v>
      </c>
      <c r="D7" s="63" t="s">
        <v>174</v>
      </c>
      <c r="E7" s="53" t="s">
        <v>170</v>
      </c>
      <c r="F7" s="62" t="s">
        <v>212</v>
      </c>
      <c r="G7" s="53" t="s">
        <v>211</v>
      </c>
      <c r="H7" s="5"/>
    </row>
    <row r="8" spans="1:28" x14ac:dyDescent="0.25">
      <c r="A8" s="98"/>
      <c r="B8" s="2" t="s">
        <v>3</v>
      </c>
      <c r="C8" s="74"/>
      <c r="D8" s="84"/>
      <c r="E8" s="74"/>
      <c r="F8" s="85"/>
      <c r="G8" s="74"/>
      <c r="H8" s="5"/>
    </row>
    <row r="9" spans="1:28" x14ac:dyDescent="0.25">
      <c r="A9" s="98"/>
      <c r="B9" s="46" t="s">
        <v>36</v>
      </c>
      <c r="C9" s="68">
        <f>SUM('GF Rev by Obj'!D8:D10)</f>
        <v>403544058.29000002</v>
      </c>
      <c r="D9" s="48">
        <f>ROUND(SUM('GF Rev by Obj'!F8:F10),0)</f>
        <v>412745478</v>
      </c>
      <c r="E9" s="48">
        <f>+'GF Rev by Obj'!H8+'GF Rev by Obj'!H9+'GF Rev by Obj'!H10</f>
        <v>340106257.41000003</v>
      </c>
      <c r="F9" s="48">
        <f>ROUND(SUM('GF Rev by Obj'!I8:I10),0)</f>
        <v>438366366</v>
      </c>
      <c r="G9" s="48">
        <f>+F9-D9</f>
        <v>25620888</v>
      </c>
      <c r="H9" s="5"/>
    </row>
    <row r="10" spans="1:28" x14ac:dyDescent="0.25">
      <c r="A10" s="98"/>
      <c r="B10" s="46" t="s">
        <v>37</v>
      </c>
      <c r="C10" s="65">
        <f>SUM('GF Rev by Obj'!D11:D23)</f>
        <v>17752251.190000001</v>
      </c>
      <c r="D10" s="55">
        <f>ROUND(SUM('GF Rev by Obj'!F11:F23),0)</f>
        <v>15624315</v>
      </c>
      <c r="E10" s="55">
        <f>+'GF Rev by Obj'!H24-'GF by funct '!F9</f>
        <v>10688132.640000045</v>
      </c>
      <c r="F10" s="55">
        <f>ROUND(SUM('GF Rev by Obj'!I11:I23),0)</f>
        <v>15918603</v>
      </c>
      <c r="G10" s="55">
        <f>+F10-D10</f>
        <v>294288</v>
      </c>
      <c r="H10" s="5"/>
    </row>
    <row r="11" spans="1:28" x14ac:dyDescent="0.25">
      <c r="A11" s="98"/>
      <c r="B11" s="46" t="s">
        <v>38</v>
      </c>
      <c r="C11" s="65">
        <f>'GF Rev by Obj'!D33</f>
        <v>67319893.579999998</v>
      </c>
      <c r="D11" s="67">
        <f>ROUND(SUM('GF Rev by Obj'!F27:F32),0)</f>
        <v>54426648</v>
      </c>
      <c r="E11" s="86">
        <f>+'GF Rev by Obj'!H33</f>
        <v>68640250.579999998</v>
      </c>
      <c r="F11" s="86">
        <f>ROUND(SUM('GF Rev by Obj'!I27:I32),0)</f>
        <v>66397489</v>
      </c>
      <c r="G11" s="55">
        <f t="shared" ref="G11:G12" si="0">+F11-D11</f>
        <v>11970841</v>
      </c>
      <c r="H11" s="5"/>
    </row>
    <row r="12" spans="1:28" x14ac:dyDescent="0.25">
      <c r="A12" s="98"/>
      <c r="B12" s="46" t="s">
        <v>42</v>
      </c>
      <c r="C12" s="65">
        <f>'GF Rev by Obj'!D42</f>
        <v>10496526.029999999</v>
      </c>
      <c r="D12" s="67">
        <f>SUM('GF Rev by Obj'!F36:F41)</f>
        <v>6699000</v>
      </c>
      <c r="E12" s="67">
        <f>+'GF Rev by Obj'!H42</f>
        <v>6607038.4800000004</v>
      </c>
      <c r="F12" s="67">
        <f>ROUND(SUM('GF Rev by Obj'!I36:I41),0)</f>
        <v>9994113</v>
      </c>
      <c r="G12" s="55">
        <f t="shared" si="0"/>
        <v>3295113</v>
      </c>
      <c r="H12" s="5"/>
    </row>
    <row r="13" spans="1:28" x14ac:dyDescent="0.25">
      <c r="A13" s="98"/>
      <c r="B13" s="40" t="s">
        <v>191</v>
      </c>
      <c r="C13" s="87">
        <f t="shared" ref="C13:D13" si="1">SUM(C9:C12)</f>
        <v>499112729.08999997</v>
      </c>
      <c r="D13" s="87">
        <f t="shared" si="1"/>
        <v>489495441</v>
      </c>
      <c r="E13" s="87">
        <f>SUM(E9:E12)</f>
        <v>426041679.11000007</v>
      </c>
      <c r="F13" s="87">
        <f>SUM(F9:F12)</f>
        <v>530676571</v>
      </c>
      <c r="G13" s="298">
        <f>SUM(G9:G12)</f>
        <v>41181130</v>
      </c>
      <c r="H13" s="5"/>
    </row>
    <row r="14" spans="1:28" x14ac:dyDescent="0.25">
      <c r="A14" s="98"/>
      <c r="B14" s="85"/>
      <c r="C14" s="99"/>
      <c r="D14" s="84"/>
      <c r="E14" s="74"/>
      <c r="F14" s="74"/>
      <c r="G14" s="74"/>
      <c r="H14" s="5"/>
    </row>
    <row r="15" spans="1:28" x14ac:dyDescent="0.25">
      <c r="A15" s="98"/>
      <c r="B15" s="2" t="s">
        <v>4</v>
      </c>
      <c r="C15" s="99"/>
      <c r="D15" s="84"/>
      <c r="E15" s="74"/>
      <c r="F15" s="74"/>
      <c r="G15" s="74"/>
      <c r="H15" s="5"/>
      <c r="S15" s="313">
        <v>5.0000000000000001E-3</v>
      </c>
      <c r="T15" s="316"/>
      <c r="U15" s="314">
        <v>0.01</v>
      </c>
      <c r="V15" s="314"/>
      <c r="W15" s="314">
        <v>0.02</v>
      </c>
      <c r="X15" s="314"/>
      <c r="Y15" s="319">
        <v>2.5000000000000001E-2</v>
      </c>
      <c r="Z15" s="313"/>
      <c r="AA15" s="314">
        <v>0.03</v>
      </c>
    </row>
    <row r="16" spans="1:28" x14ac:dyDescent="0.25">
      <c r="A16" s="98">
        <v>11</v>
      </c>
      <c r="B16" s="75" t="s">
        <v>5</v>
      </c>
      <c r="C16" s="65">
        <v>295395689</v>
      </c>
      <c r="D16" s="65">
        <f>'GF Exp by Func &amp; Mj Obj '!D14</f>
        <v>293273194</v>
      </c>
      <c r="E16" s="55">
        <f>250400383.36+1130569.45+209709.09</f>
        <v>251740661.90000001</v>
      </c>
      <c r="F16" s="65">
        <f>'2.5% Pay Increase'!E14</f>
        <v>292140617</v>
      </c>
      <c r="G16" s="55">
        <f>+F16-D16</f>
        <v>-1132577</v>
      </c>
      <c r="H16" s="5"/>
      <c r="S16" s="49">
        <v>1132601</v>
      </c>
      <c r="T16" s="317"/>
      <c r="U16" s="49">
        <v>2270851</v>
      </c>
      <c r="V16" s="49"/>
      <c r="W16" s="49">
        <v>4564297</v>
      </c>
      <c r="X16" s="49"/>
      <c r="Y16" s="49">
        <v>5719493</v>
      </c>
      <c r="Z16" s="49"/>
      <c r="AA16" s="49">
        <v>6880338</v>
      </c>
      <c r="AB16" s="31"/>
    </row>
    <row r="17" spans="1:28" x14ac:dyDescent="0.25">
      <c r="A17" s="98">
        <v>12</v>
      </c>
      <c r="B17" s="75" t="s">
        <v>6</v>
      </c>
      <c r="C17" s="65">
        <v>6704398</v>
      </c>
      <c r="D17" s="65">
        <f>'GF Exp by Func &amp; Mj Obj '!D21</f>
        <v>6465934</v>
      </c>
      <c r="E17" s="55">
        <f>5814724.33+25963.26</f>
        <v>5840687.5899999999</v>
      </c>
      <c r="F17" s="65">
        <f>'2.5% Pay Increase'!E21</f>
        <v>6454003</v>
      </c>
      <c r="G17" s="55">
        <f t="shared" ref="G17:G37" si="2">+F17-D17</f>
        <v>-11931</v>
      </c>
      <c r="H17" s="5"/>
      <c r="S17" s="49">
        <v>22846</v>
      </c>
      <c r="T17" s="317"/>
      <c r="U17" s="49">
        <v>45806</v>
      </c>
      <c r="V17" s="49"/>
      <c r="W17" s="49">
        <v>92067</v>
      </c>
      <c r="X17" s="49"/>
      <c r="Y17" s="49">
        <v>115368</v>
      </c>
      <c r="Z17" s="49"/>
      <c r="AA17" s="49">
        <v>138784</v>
      </c>
      <c r="AB17" s="31"/>
    </row>
    <row r="18" spans="1:28" x14ac:dyDescent="0.25">
      <c r="A18" s="98">
        <v>13</v>
      </c>
      <c r="B18" s="75" t="s">
        <v>7</v>
      </c>
      <c r="C18" s="65">
        <v>2314061</v>
      </c>
      <c r="D18" s="65">
        <f>'GF Exp by Func &amp; Mj Obj '!D28</f>
        <v>2414835</v>
      </c>
      <c r="E18" s="55">
        <f>1794486.14+44257.66+5953.05</f>
        <v>1844696.8499999999</v>
      </c>
      <c r="F18" s="65">
        <f>'2.5% Pay Increase'!E28</f>
        <v>2496382</v>
      </c>
      <c r="G18" s="55">
        <f t="shared" si="2"/>
        <v>81547</v>
      </c>
      <c r="H18" s="5"/>
      <c r="S18" s="49">
        <v>3491</v>
      </c>
      <c r="T18" s="317"/>
      <c r="U18" s="49">
        <v>7000</v>
      </c>
      <c r="V18" s="49"/>
      <c r="W18" s="49">
        <v>14070</v>
      </c>
      <c r="X18" s="49"/>
      <c r="Y18" s="49">
        <v>17631</v>
      </c>
      <c r="Z18" s="49"/>
      <c r="AA18" s="49">
        <v>21210</v>
      </c>
      <c r="AB18" s="31"/>
    </row>
    <row r="19" spans="1:28" x14ac:dyDescent="0.25">
      <c r="A19" s="98">
        <v>21</v>
      </c>
      <c r="B19" s="75" t="s">
        <v>8</v>
      </c>
      <c r="C19" s="65">
        <v>10129682</v>
      </c>
      <c r="D19" s="65">
        <f>'GF Exp by Func &amp; Mj Obj '!D35</f>
        <v>11003797</v>
      </c>
      <c r="E19" s="55">
        <f>8345619.99+25239.09+9358.83</f>
        <v>8380217.9100000001</v>
      </c>
      <c r="F19" s="65">
        <f>'2.5% Pay Increase'!E35</f>
        <v>10995173</v>
      </c>
      <c r="G19" s="55">
        <f t="shared" si="2"/>
        <v>-8624</v>
      </c>
      <c r="H19" s="5"/>
      <c r="S19" s="49">
        <v>44324</v>
      </c>
      <c r="T19" s="317"/>
      <c r="U19" s="49">
        <v>88868</v>
      </c>
      <c r="V19" s="49"/>
      <c r="W19" s="49">
        <v>178621</v>
      </c>
      <c r="X19" s="49"/>
      <c r="Y19" s="49">
        <v>223829</v>
      </c>
      <c r="Z19" s="49"/>
      <c r="AA19" s="49">
        <v>269258</v>
      </c>
      <c r="AB19" s="31"/>
    </row>
    <row r="20" spans="1:28" x14ac:dyDescent="0.25">
      <c r="A20" s="98">
        <v>23</v>
      </c>
      <c r="B20" s="75" t="s">
        <v>9</v>
      </c>
      <c r="C20" s="65">
        <v>32352945</v>
      </c>
      <c r="D20" s="65">
        <f>'GF Exp by Func &amp; Mj Obj '!D42</f>
        <v>31911220</v>
      </c>
      <c r="E20" s="55">
        <f>27280216.66+37261.82+2596.94</f>
        <v>27320075.420000002</v>
      </c>
      <c r="F20" s="65">
        <f>'2.5% Pay Increase'!E42</f>
        <v>32058562</v>
      </c>
      <c r="G20" s="55">
        <f t="shared" si="2"/>
        <v>147342</v>
      </c>
      <c r="H20" s="5"/>
      <c r="S20" s="49">
        <v>267545</v>
      </c>
      <c r="T20" s="317"/>
      <c r="U20" s="49">
        <v>399849</v>
      </c>
      <c r="V20" s="49"/>
      <c r="W20" s="49">
        <v>666418</v>
      </c>
      <c r="X20" s="49"/>
      <c r="Y20" s="49">
        <v>800682</v>
      </c>
      <c r="Z20" s="49"/>
      <c r="AA20" s="49">
        <v>935599</v>
      </c>
      <c r="AB20" s="31"/>
    </row>
    <row r="21" spans="1:28" x14ac:dyDescent="0.25">
      <c r="A21" s="98">
        <v>31</v>
      </c>
      <c r="B21" s="75" t="s">
        <v>10</v>
      </c>
      <c r="C21" s="65">
        <v>21563709</v>
      </c>
      <c r="D21" s="65">
        <f>'GF Exp by Func &amp; Mj Obj '!D49</f>
        <v>23375391</v>
      </c>
      <c r="E21" s="55">
        <f>17672092.61+27695.72+2957.4</f>
        <v>17702745.729999997</v>
      </c>
      <c r="F21" s="65">
        <f>'2.5% Pay Increase'!E49</f>
        <v>23373444</v>
      </c>
      <c r="G21" s="55">
        <f t="shared" si="2"/>
        <v>-1947</v>
      </c>
      <c r="H21" s="5"/>
      <c r="S21" s="49">
        <v>94301</v>
      </c>
      <c r="T21" s="317"/>
      <c r="U21" s="49">
        <v>189073</v>
      </c>
      <c r="V21" s="49"/>
      <c r="W21" s="49">
        <v>380028</v>
      </c>
      <c r="X21" s="49"/>
      <c r="Y21" s="49">
        <v>476211</v>
      </c>
      <c r="Z21" s="49"/>
      <c r="AA21" s="49">
        <v>572864</v>
      </c>
      <c r="AB21" s="31"/>
    </row>
    <row r="22" spans="1:28" x14ac:dyDescent="0.25">
      <c r="A22" s="98">
        <v>32</v>
      </c>
      <c r="B22" s="75" t="s">
        <v>11</v>
      </c>
      <c r="C22" s="65">
        <v>325302</v>
      </c>
      <c r="D22" s="65">
        <f>'GF Exp by Func &amp; Mj Obj '!D62</f>
        <v>238327</v>
      </c>
      <c r="E22" s="55">
        <f>882531.74+4177.2</f>
        <v>886708.94</v>
      </c>
      <c r="F22" s="65">
        <f>'2.5% Pay Increase'!E61</f>
        <v>236800</v>
      </c>
      <c r="G22" s="55">
        <f t="shared" si="2"/>
        <v>-1527</v>
      </c>
      <c r="H22" s="5"/>
      <c r="S22" s="49">
        <v>1025</v>
      </c>
      <c r="T22" s="317"/>
      <c r="U22" s="49">
        <v>2056</v>
      </c>
      <c r="V22" s="49"/>
      <c r="W22" s="49">
        <v>4132</v>
      </c>
      <c r="X22" s="49"/>
      <c r="Y22" s="49">
        <v>5177</v>
      </c>
      <c r="Z22" s="49"/>
      <c r="AA22" s="49">
        <v>6228</v>
      </c>
      <c r="AB22" s="31"/>
    </row>
    <row r="23" spans="1:28" x14ac:dyDescent="0.25">
      <c r="A23" s="98">
        <v>33</v>
      </c>
      <c r="B23" s="75" t="s">
        <v>12</v>
      </c>
      <c r="C23" s="65">
        <v>5664211</v>
      </c>
      <c r="D23" s="65">
        <f>'GF Exp by Func &amp; Mj Obj '!D69</f>
        <v>5594606</v>
      </c>
      <c r="E23" s="55">
        <f>4740397.6+6234.27+7.08</f>
        <v>4746638.9499999993</v>
      </c>
      <c r="F23" s="65">
        <f>'2.5% Pay Increase'!E68</f>
        <v>5586000</v>
      </c>
      <c r="G23" s="55">
        <f t="shared" si="2"/>
        <v>-8606</v>
      </c>
      <c r="H23" s="5"/>
      <c r="S23" s="49">
        <v>22368</v>
      </c>
      <c r="T23" s="317"/>
      <c r="U23" s="49">
        <v>44847</v>
      </c>
      <c r="V23" s="49"/>
      <c r="W23" s="49">
        <v>90140</v>
      </c>
      <c r="X23" s="49"/>
      <c r="Y23" s="49">
        <v>112954</v>
      </c>
      <c r="Z23" s="49"/>
      <c r="AA23" s="49">
        <v>135880</v>
      </c>
      <c r="AB23" s="31"/>
    </row>
    <row r="24" spans="1:28" x14ac:dyDescent="0.25">
      <c r="A24" s="98">
        <v>34</v>
      </c>
      <c r="B24" s="75" t="s">
        <v>13</v>
      </c>
      <c r="C24" s="65">
        <v>15515870</v>
      </c>
      <c r="D24" s="65">
        <f>'GF Exp by Func &amp; Mj Obj '!D74</f>
        <v>16090184</v>
      </c>
      <c r="E24" s="55">
        <f>13071453.53+4042.13</f>
        <v>13075495.66</v>
      </c>
      <c r="F24" s="65">
        <f>'2.5% Pay Increase'!E73</f>
        <v>16090364</v>
      </c>
      <c r="G24" s="55">
        <f t="shared" si="2"/>
        <v>180</v>
      </c>
      <c r="H24" s="5"/>
      <c r="S24" s="49">
        <v>161</v>
      </c>
      <c r="T24" s="317"/>
      <c r="U24" s="49">
        <v>323</v>
      </c>
      <c r="V24" s="49"/>
      <c r="W24" s="49">
        <v>650</v>
      </c>
      <c r="X24" s="49"/>
      <c r="Y24" s="49">
        <v>814</v>
      </c>
      <c r="Z24" s="49"/>
      <c r="AA24" s="49">
        <v>979</v>
      </c>
      <c r="AB24" s="31"/>
    </row>
    <row r="25" spans="1:28" x14ac:dyDescent="0.25">
      <c r="A25" s="98">
        <v>35</v>
      </c>
      <c r="B25" s="75" t="s">
        <v>14</v>
      </c>
      <c r="C25" s="65">
        <v>35900</v>
      </c>
      <c r="D25" s="65">
        <f>'GF Exp by Func &amp; Mj Obj '!D82</f>
        <v>36646</v>
      </c>
      <c r="E25" s="55">
        <f>58137.95</f>
        <v>58137.95</v>
      </c>
      <c r="F25" s="65">
        <f>'2.5% Pay Increase'!E81</f>
        <v>36826</v>
      </c>
      <c r="G25" s="55">
        <f t="shared" si="2"/>
        <v>180</v>
      </c>
      <c r="H25" s="5"/>
      <c r="S25" s="49">
        <v>161</v>
      </c>
      <c r="T25" s="317"/>
      <c r="U25" s="49">
        <v>323</v>
      </c>
      <c r="V25" s="49"/>
      <c r="W25" s="49">
        <v>650</v>
      </c>
      <c r="X25" s="49"/>
      <c r="Y25" s="49">
        <v>814</v>
      </c>
      <c r="Z25" s="49"/>
      <c r="AA25" s="49">
        <v>979</v>
      </c>
      <c r="AB25" s="31"/>
    </row>
    <row r="26" spans="1:28" x14ac:dyDescent="0.25">
      <c r="A26" s="98">
        <v>36</v>
      </c>
      <c r="B26" s="75" t="s">
        <v>15</v>
      </c>
      <c r="C26" s="65">
        <v>10350197</v>
      </c>
      <c r="D26" s="65">
        <f>'GF Exp by Func &amp; Mj Obj '!D90</f>
        <v>12216127</v>
      </c>
      <c r="E26" s="55">
        <f>9625460.54+297750.93+3086.26</f>
        <v>9926297.7299999986</v>
      </c>
      <c r="F26" s="65">
        <f>'2.5% Pay Increase'!E89</f>
        <v>12227158</v>
      </c>
      <c r="G26" s="55">
        <f t="shared" si="2"/>
        <v>11031</v>
      </c>
      <c r="H26" s="5"/>
      <c r="S26" s="49">
        <v>6128</v>
      </c>
      <c r="T26" s="317"/>
      <c r="U26" s="49">
        <v>12286</v>
      </c>
      <c r="V26" s="49"/>
      <c r="W26" s="49">
        <v>24694</v>
      </c>
      <c r="X26" s="49"/>
      <c r="Y26" s="49">
        <v>30944</v>
      </c>
      <c r="Z26" s="49"/>
      <c r="AA26" s="49">
        <v>37225</v>
      </c>
      <c r="AB26" s="31"/>
    </row>
    <row r="27" spans="1:28" x14ac:dyDescent="0.25">
      <c r="A27" s="98">
        <v>41</v>
      </c>
      <c r="B27" s="75" t="s">
        <v>16</v>
      </c>
      <c r="C27" s="65">
        <v>9704712</v>
      </c>
      <c r="D27" s="65">
        <f>'GF Exp by Func &amp; Mj Obj '!D97</f>
        <v>11153664</v>
      </c>
      <c r="E27" s="55">
        <f>8618600.5+139318.83+5504.88</f>
        <v>8763424.2100000009</v>
      </c>
      <c r="F27" s="65">
        <f>'2.5% Pay Increase'!E96</f>
        <v>11103590</v>
      </c>
      <c r="G27" s="55">
        <f t="shared" si="2"/>
        <v>-50074</v>
      </c>
      <c r="H27" s="5"/>
      <c r="S27" s="49">
        <v>176557</v>
      </c>
      <c r="T27" s="317"/>
      <c r="U27" s="49">
        <v>206743</v>
      </c>
      <c r="V27" s="49"/>
      <c r="W27" s="49">
        <v>267554</v>
      </c>
      <c r="X27" s="49"/>
      <c r="Y27" s="49">
        <v>298178</v>
      </c>
      <c r="Z27" s="49"/>
      <c r="AA27" s="49">
        <v>328949</v>
      </c>
      <c r="AB27" s="31"/>
    </row>
    <row r="28" spans="1:28" x14ac:dyDescent="0.25">
      <c r="A28" s="98">
        <v>51</v>
      </c>
      <c r="B28" s="75" t="s">
        <v>17</v>
      </c>
      <c r="C28" s="65">
        <v>39886191</v>
      </c>
      <c r="D28" s="65">
        <f>'GF Exp by Func &amp; Mj Obj '!D105</f>
        <v>43425543</v>
      </c>
      <c r="E28" s="55">
        <f>29174837.07+2425224.96+2294125.51</f>
        <v>33894187.539999999</v>
      </c>
      <c r="F28" s="65">
        <f>'2.5% Pay Increase'!E104</f>
        <v>43453730</v>
      </c>
      <c r="G28" s="55">
        <f t="shared" si="2"/>
        <v>28187</v>
      </c>
      <c r="H28" s="5"/>
      <c r="S28" s="49">
        <v>29491</v>
      </c>
      <c r="T28" s="317"/>
      <c r="U28" s="49">
        <v>59128</v>
      </c>
      <c r="V28" s="49"/>
      <c r="W28" s="49">
        <v>118845</v>
      </c>
      <c r="X28" s="49"/>
      <c r="Y28" s="49">
        <v>148924</v>
      </c>
      <c r="Z28" s="49"/>
      <c r="AA28" s="49">
        <v>179150</v>
      </c>
      <c r="AB28" s="31"/>
    </row>
    <row r="29" spans="1:28" x14ac:dyDescent="0.25">
      <c r="A29" s="98">
        <v>52</v>
      </c>
      <c r="B29" s="75" t="s">
        <v>18</v>
      </c>
      <c r="C29" s="65">
        <v>2116763</v>
      </c>
      <c r="D29" s="65">
        <f>'GF Exp by Func &amp; Mj Obj '!D120</f>
        <v>3368639</v>
      </c>
      <c r="E29" s="55">
        <f>1841394.27+178803.49</f>
        <v>2020197.76</v>
      </c>
      <c r="F29" s="65">
        <f>'2.5% Pay Increase'!E119</f>
        <v>3364267</v>
      </c>
      <c r="G29" s="55">
        <f t="shared" si="2"/>
        <v>-4372</v>
      </c>
      <c r="H29" s="5"/>
      <c r="S29" s="49">
        <v>4450</v>
      </c>
      <c r="T29" s="317"/>
      <c r="U29" s="49">
        <v>8923</v>
      </c>
      <c r="V29" s="49"/>
      <c r="W29" s="49">
        <v>17934</v>
      </c>
      <c r="X29" s="49"/>
      <c r="Y29" s="49">
        <v>22473</v>
      </c>
      <c r="Z29" s="49"/>
      <c r="AA29" s="49">
        <v>27034</v>
      </c>
      <c r="AB29" s="31"/>
    </row>
    <row r="30" spans="1:28" x14ac:dyDescent="0.25">
      <c r="A30" s="98">
        <v>53</v>
      </c>
      <c r="B30" s="75" t="s">
        <v>19</v>
      </c>
      <c r="C30" s="65">
        <v>11022216</v>
      </c>
      <c r="D30" s="65">
        <f>'GF Exp by Func &amp; Mj Obj '!D128</f>
        <v>12184537</v>
      </c>
      <c r="E30" s="55">
        <f>8788849.2+210912.26+117966.87</f>
        <v>9117728.3299999982</v>
      </c>
      <c r="F30" s="65">
        <f>'2.5% Pay Increase'!E127</f>
        <v>12167321</v>
      </c>
      <c r="G30" s="55">
        <f t="shared" si="2"/>
        <v>-17216</v>
      </c>
      <c r="H30" s="5"/>
      <c r="S30" s="49">
        <v>31746</v>
      </c>
      <c r="T30" s="317"/>
      <c r="U30" s="49">
        <v>63650</v>
      </c>
      <c r="V30" s="49"/>
      <c r="W30" s="49">
        <v>127934</v>
      </c>
      <c r="X30" s="49"/>
      <c r="Y30" s="49">
        <v>160314</v>
      </c>
      <c r="Z30" s="49"/>
      <c r="AA30" s="49">
        <v>192851</v>
      </c>
      <c r="AB30" s="31"/>
    </row>
    <row r="31" spans="1:28" x14ac:dyDescent="0.25">
      <c r="A31" s="98">
        <v>61</v>
      </c>
      <c r="B31" s="75" t="s">
        <v>20</v>
      </c>
      <c r="C31" s="65">
        <v>6605359</v>
      </c>
      <c r="D31" s="65">
        <f>'GF Exp by Func &amp; Mj Obj '!D135</f>
        <v>8804966</v>
      </c>
      <c r="E31" s="55">
        <f>5386295.69+19884.79+95.47</f>
        <v>5406275.9500000002</v>
      </c>
      <c r="F31" s="65">
        <f>'2.5% Pay Increase'!E134</f>
        <v>8368973</v>
      </c>
      <c r="G31" s="55">
        <f t="shared" si="2"/>
        <v>-435993</v>
      </c>
      <c r="H31" s="5"/>
      <c r="S31" s="49">
        <v>25783</v>
      </c>
      <c r="T31" s="317"/>
      <c r="U31" s="49">
        <v>51969</v>
      </c>
      <c r="V31" s="49"/>
      <c r="W31" s="49">
        <v>103906</v>
      </c>
      <c r="X31" s="49"/>
      <c r="Y31" s="49">
        <v>130203</v>
      </c>
      <c r="Z31" s="49"/>
      <c r="AA31" s="49">
        <v>156630</v>
      </c>
      <c r="AB31" s="31"/>
    </row>
    <row r="32" spans="1:28" x14ac:dyDescent="0.25">
      <c r="A32" s="98">
        <v>71</v>
      </c>
      <c r="B32" s="75" t="s">
        <v>21</v>
      </c>
      <c r="C32" s="65">
        <v>658425</v>
      </c>
      <c r="D32" s="65">
        <f>'GF Exp by Func &amp; Mj Obj '!D140</f>
        <v>0</v>
      </c>
      <c r="E32" s="55">
        <f>658425.2</f>
        <v>658425.19999999995</v>
      </c>
      <c r="F32" s="65">
        <f>'2.5% Pay Increase'!E139</f>
        <v>0</v>
      </c>
      <c r="G32" s="55">
        <f t="shared" si="2"/>
        <v>0</v>
      </c>
      <c r="H32" s="5"/>
      <c r="I32" s="1"/>
      <c r="S32" s="49"/>
      <c r="T32" s="317"/>
      <c r="U32" s="49"/>
      <c r="V32" s="49"/>
      <c r="W32" s="49"/>
      <c r="X32" s="49"/>
      <c r="Y32" s="49"/>
      <c r="Z32" s="49"/>
      <c r="AA32" s="49"/>
      <c r="AB32" s="31"/>
    </row>
    <row r="33" spans="1:28" x14ac:dyDescent="0.25">
      <c r="A33" s="98">
        <v>81</v>
      </c>
      <c r="B33" s="75" t="s">
        <v>22</v>
      </c>
      <c r="C33" s="65">
        <v>72092</v>
      </c>
      <c r="D33" s="65">
        <f>'GF Exp by Func &amp; Mj Obj '!D37</f>
        <v>0</v>
      </c>
      <c r="E33" s="55">
        <v>42834</v>
      </c>
      <c r="F33" s="65">
        <v>0</v>
      </c>
      <c r="G33" s="55">
        <f t="shared" si="2"/>
        <v>0</v>
      </c>
      <c r="H33" s="5"/>
      <c r="I33" s="1" t="s">
        <v>168</v>
      </c>
      <c r="S33" s="49"/>
      <c r="T33" s="317"/>
      <c r="U33" s="49"/>
      <c r="V33" s="49"/>
      <c r="W33" s="49"/>
      <c r="X33" s="49"/>
      <c r="Y33" s="49"/>
      <c r="Z33" s="49"/>
      <c r="AA33" s="49"/>
      <c r="AB33" s="31"/>
    </row>
    <row r="34" spans="1:28" x14ac:dyDescent="0.25">
      <c r="A34" s="98">
        <v>91</v>
      </c>
      <c r="B34" s="75" t="s">
        <v>179</v>
      </c>
      <c r="C34" s="65">
        <v>0</v>
      </c>
      <c r="D34" s="65">
        <f>'GF Exp by Func &amp; Mj Obj '!D144</f>
        <v>18603784</v>
      </c>
      <c r="E34" s="55"/>
      <c r="F34" s="65">
        <f>'2.5% Pay Increase'!E142</f>
        <v>20936535</v>
      </c>
      <c r="G34" s="55">
        <f t="shared" si="2"/>
        <v>2332751</v>
      </c>
      <c r="H34" s="5"/>
      <c r="I34" s="1"/>
      <c r="S34" s="49"/>
      <c r="T34" s="317"/>
      <c r="U34" s="49"/>
      <c r="V34" s="49"/>
      <c r="W34" s="49"/>
      <c r="X34" s="49"/>
      <c r="Y34" s="49"/>
      <c r="Z34" s="49"/>
      <c r="AA34" s="49"/>
      <c r="AB34" s="31"/>
    </row>
    <row r="35" spans="1:28" x14ac:dyDescent="0.25">
      <c r="A35" s="98">
        <v>93</v>
      </c>
      <c r="B35" s="75" t="s">
        <v>23</v>
      </c>
      <c r="C35" s="65">
        <v>82000</v>
      </c>
      <c r="D35" s="65">
        <f>'GF Exp by Func &amp; Mj Obj '!D153</f>
        <v>210000</v>
      </c>
      <c r="E35" s="55">
        <v>210000</v>
      </c>
      <c r="F35" s="65">
        <f>'2.5% Pay Increase'!E151</f>
        <v>210000</v>
      </c>
      <c r="G35" s="55">
        <f t="shared" si="2"/>
        <v>0</v>
      </c>
      <c r="H35" s="5"/>
      <c r="I35" s="1"/>
      <c r="S35" s="49"/>
      <c r="T35" s="317"/>
      <c r="U35" s="49"/>
      <c r="V35" s="49"/>
      <c r="W35" s="49"/>
      <c r="X35" s="49"/>
      <c r="Y35" s="49"/>
      <c r="Z35" s="49"/>
      <c r="AA35" s="49"/>
      <c r="AB35" s="31"/>
    </row>
    <row r="36" spans="1:28" x14ac:dyDescent="0.25">
      <c r="A36" s="98">
        <v>95</v>
      </c>
      <c r="B36" s="75" t="s">
        <v>193</v>
      </c>
      <c r="C36" s="65">
        <v>34176</v>
      </c>
      <c r="D36" s="65">
        <f>'GF Exp by Func &amp; Mj Obj '!D157</f>
        <v>200000</v>
      </c>
      <c r="E36" s="55">
        <v>200000</v>
      </c>
      <c r="F36" s="65">
        <f>'2.5% Pay Increase'!E156</f>
        <v>200000</v>
      </c>
      <c r="G36" s="55">
        <f t="shared" si="2"/>
        <v>0</v>
      </c>
      <c r="H36" s="5"/>
      <c r="I36" s="1"/>
      <c r="S36" s="49"/>
      <c r="T36" s="317"/>
      <c r="U36" s="49"/>
      <c r="V36" s="49"/>
      <c r="W36" s="49"/>
      <c r="X36" s="49"/>
      <c r="Y36" s="49"/>
      <c r="Z36" s="49"/>
      <c r="AA36" s="49"/>
      <c r="AB36" s="31"/>
    </row>
    <row r="37" spans="1:28" x14ac:dyDescent="0.25">
      <c r="A37" s="98">
        <v>99</v>
      </c>
      <c r="B37" s="75" t="s">
        <v>24</v>
      </c>
      <c r="C37" s="65">
        <v>2939064</v>
      </c>
      <c r="D37" s="65">
        <f>'GF Exp by Func &amp; Mj Obj '!D161</f>
        <v>3662088</v>
      </c>
      <c r="E37" s="55">
        <v>2853235</v>
      </c>
      <c r="F37" s="65">
        <f>'2.5% Pay Increase'!E160</f>
        <v>3662088</v>
      </c>
      <c r="G37" s="55">
        <f t="shared" si="2"/>
        <v>0</v>
      </c>
      <c r="H37" s="5"/>
      <c r="I37" s="1" t="s">
        <v>169</v>
      </c>
      <c r="S37" s="49"/>
      <c r="T37" s="317"/>
      <c r="U37" s="49"/>
      <c r="V37" s="49"/>
      <c r="W37" s="49"/>
      <c r="X37" s="49"/>
      <c r="Y37" s="49"/>
      <c r="Z37" s="49"/>
      <c r="AA37" s="49"/>
      <c r="AB37" s="31"/>
    </row>
    <row r="38" spans="1:28" ht="15.75" thickBot="1" x14ac:dyDescent="0.3">
      <c r="A38" s="98"/>
      <c r="B38" s="2" t="s">
        <v>25</v>
      </c>
      <c r="C38" s="70">
        <f t="shared" ref="C38:D38" si="3">SUM(C16:C37)</f>
        <v>473472962</v>
      </c>
      <c r="D38" s="70">
        <f t="shared" si="3"/>
        <v>504233482</v>
      </c>
      <c r="E38" s="70">
        <f>SUM(E16:E37)</f>
        <v>404688672.62</v>
      </c>
      <c r="F38" s="312">
        <f>SUM(F16:F37)</f>
        <v>505161833</v>
      </c>
      <c r="G38" s="70">
        <f>SUM(G16:G37)</f>
        <v>928351</v>
      </c>
      <c r="H38" s="5"/>
      <c r="I38" s="1"/>
      <c r="S38" s="315">
        <f>SUM(S16:S37)</f>
        <v>1862978</v>
      </c>
      <c r="T38" s="317"/>
      <c r="U38" s="315">
        <f>SUM(U16:U37)</f>
        <v>3451695</v>
      </c>
      <c r="V38" s="317"/>
      <c r="W38" s="315">
        <f>SUM(W16:W37)</f>
        <v>6651940</v>
      </c>
      <c r="X38" s="49"/>
      <c r="Y38" s="320">
        <f>SUM(Y16:Y37)</f>
        <v>8264009</v>
      </c>
      <c r="Z38" s="49"/>
      <c r="AA38" s="315">
        <f>SUM(AA16:AA37)</f>
        <v>9883958</v>
      </c>
      <c r="AB38" s="31"/>
    </row>
    <row r="39" spans="1:28" ht="15.75" thickTop="1" x14ac:dyDescent="0.25">
      <c r="A39" s="98"/>
      <c r="B39" s="85"/>
      <c r="C39" s="99"/>
      <c r="D39" s="84"/>
      <c r="E39" s="74"/>
      <c r="F39" s="74"/>
      <c r="G39" s="74"/>
      <c r="H39" s="5"/>
      <c r="I39" s="1"/>
      <c r="Q39" s="56" t="s">
        <v>218</v>
      </c>
      <c r="S39" s="364">
        <f>3451695-1862978</f>
        <v>1588717</v>
      </c>
      <c r="T39" s="364"/>
      <c r="U39" s="364"/>
      <c r="W39" s="49">
        <f>6651940-3451695</f>
        <v>3200245</v>
      </c>
      <c r="X39" s="49"/>
      <c r="Y39" s="49">
        <f>8264009-6651940</f>
        <v>1612069</v>
      </c>
      <c r="Z39" s="49"/>
      <c r="AA39" s="49">
        <f>9883958-8264009</f>
        <v>1619949</v>
      </c>
      <c r="AB39" s="31"/>
    </row>
    <row r="40" spans="1:28" x14ac:dyDescent="0.25">
      <c r="A40" s="98"/>
      <c r="B40" s="85"/>
      <c r="C40" s="99"/>
      <c r="D40" s="84"/>
      <c r="E40" s="74"/>
      <c r="F40" s="74"/>
      <c r="G40" s="74"/>
      <c r="H40" s="5"/>
      <c r="I40" s="1"/>
      <c r="T40" s="41"/>
    </row>
    <row r="41" spans="1:28" x14ac:dyDescent="0.25">
      <c r="A41" s="98"/>
      <c r="B41" s="2" t="s">
        <v>175</v>
      </c>
      <c r="C41" s="99"/>
      <c r="D41" s="84"/>
      <c r="E41" s="74"/>
      <c r="F41" s="74"/>
      <c r="G41" s="74"/>
      <c r="H41" s="5"/>
      <c r="I41" s="1"/>
    </row>
    <row r="42" spans="1:28" x14ac:dyDescent="0.25">
      <c r="A42" s="98"/>
      <c r="B42" s="2" t="s">
        <v>176</v>
      </c>
      <c r="C42" s="89">
        <f t="shared" ref="C42:D42" si="4">+C13-C38</f>
        <v>25639767.089999974</v>
      </c>
      <c r="D42" s="89">
        <f t="shared" si="4"/>
        <v>-14738041</v>
      </c>
      <c r="E42" s="89">
        <f>+E13-E38</f>
        <v>21353006.490000069</v>
      </c>
      <c r="F42" s="89">
        <f>+F13-F38</f>
        <v>25514738</v>
      </c>
      <c r="G42" s="89">
        <f>+G13-G38</f>
        <v>40252779</v>
      </c>
      <c r="H42" s="5"/>
      <c r="I42" s="1"/>
    </row>
    <row r="43" spans="1:28" x14ac:dyDescent="0.25">
      <c r="A43" s="98"/>
      <c r="B43" s="2"/>
      <c r="C43" s="74"/>
      <c r="D43" s="84"/>
      <c r="E43" s="74"/>
      <c r="F43" s="85"/>
      <c r="G43" s="74"/>
      <c r="H43" s="5"/>
      <c r="I43" s="1"/>
    </row>
    <row r="44" spans="1:28" x14ac:dyDescent="0.25">
      <c r="A44" s="98"/>
      <c r="B44" s="2" t="s">
        <v>188</v>
      </c>
      <c r="C44" s="74"/>
      <c r="D44" s="84"/>
      <c r="E44" s="74"/>
      <c r="F44" s="85"/>
      <c r="G44" s="74"/>
      <c r="H44" s="5"/>
      <c r="I44" s="1"/>
    </row>
    <row r="45" spans="1:28" x14ac:dyDescent="0.25">
      <c r="A45" s="98"/>
      <c r="B45" s="85" t="s">
        <v>29</v>
      </c>
      <c r="C45" s="65">
        <f>SUM('GF Rev by Obj'!D45:D47)</f>
        <v>107216.56</v>
      </c>
      <c r="D45" s="288">
        <f>+'GF Rev by Obj'!F49</f>
        <v>493490</v>
      </c>
      <c r="E45" s="288">
        <f>+'GF Rev by Obj'!H49</f>
        <v>0</v>
      </c>
      <c r="F45" s="288">
        <f>+'GF Rev by Obj'!I49</f>
        <v>0</v>
      </c>
      <c r="G45" s="55">
        <f>+F45-D45</f>
        <v>-493490</v>
      </c>
      <c r="H45" s="5"/>
      <c r="I45" s="1"/>
    </row>
    <row r="46" spans="1:28" x14ac:dyDescent="0.25">
      <c r="A46" s="98"/>
      <c r="B46" s="85" t="s">
        <v>30</v>
      </c>
      <c r="C46" s="65">
        <v>-500000</v>
      </c>
      <c r="D46" s="288">
        <v>0</v>
      </c>
      <c r="E46" s="288">
        <v>1700000</v>
      </c>
      <c r="F46" s="288">
        <v>0</v>
      </c>
      <c r="G46" s="55">
        <f>+F46-D46</f>
        <v>0</v>
      </c>
      <c r="H46" s="5"/>
      <c r="I46" s="1"/>
    </row>
    <row r="47" spans="1:28" x14ac:dyDescent="0.25">
      <c r="A47" s="98"/>
      <c r="B47" s="16" t="s">
        <v>31</v>
      </c>
      <c r="C47" s="286">
        <f>SUM(C45:C46)</f>
        <v>-392783.44</v>
      </c>
      <c r="D47" s="286">
        <f>SUM(D45:D46)</f>
        <v>493490</v>
      </c>
      <c r="E47" s="286">
        <f>+E45-E46</f>
        <v>-1700000</v>
      </c>
      <c r="F47" s="286">
        <f>SUM(F45:F46)</f>
        <v>0</v>
      </c>
      <c r="G47" s="286">
        <f>SUM(G45:G46)</f>
        <v>-493490</v>
      </c>
      <c r="H47" s="5"/>
      <c r="I47" s="1"/>
    </row>
    <row r="48" spans="1:28" x14ac:dyDescent="0.25">
      <c r="A48" s="98"/>
      <c r="B48" s="85"/>
      <c r="C48" s="99"/>
      <c r="D48" s="84"/>
      <c r="E48" s="74"/>
      <c r="F48" s="74"/>
      <c r="G48" s="74"/>
      <c r="H48" s="5"/>
    </row>
    <row r="49" spans="1:8" ht="15.75" thickBot="1" x14ac:dyDescent="0.3">
      <c r="A49" s="98"/>
      <c r="B49" s="2" t="s">
        <v>158</v>
      </c>
      <c r="C49" s="116">
        <f>+C42+C47</f>
        <v>25246983.649999972</v>
      </c>
      <c r="D49" s="116">
        <f>+D42+D47</f>
        <v>-14244551</v>
      </c>
      <c r="E49" s="116">
        <v>4000000</v>
      </c>
      <c r="F49" s="116">
        <f>+F42+F47</f>
        <v>25514738</v>
      </c>
      <c r="G49" s="116">
        <f>+G42+G47</f>
        <v>39759289</v>
      </c>
      <c r="H49" s="5"/>
    </row>
    <row r="50" spans="1:8" ht="15.75" thickTop="1" x14ac:dyDescent="0.25">
      <c r="A50" s="98"/>
      <c r="B50" s="85"/>
      <c r="C50" s="99"/>
      <c r="D50" s="67"/>
      <c r="E50" s="67"/>
      <c r="F50" s="295"/>
      <c r="G50" s="67"/>
      <c r="H50" s="5"/>
    </row>
    <row r="51" spans="1:8" hidden="1" x14ac:dyDescent="0.25">
      <c r="A51" s="98"/>
      <c r="B51" s="46" t="s">
        <v>34</v>
      </c>
      <c r="C51" s="65">
        <v>158671093</v>
      </c>
      <c r="D51" s="92">
        <f>C52</f>
        <v>183918076.64999998</v>
      </c>
      <c r="E51" s="67">
        <f>C52</f>
        <v>183918076.64999998</v>
      </c>
      <c r="F51" s="296">
        <f>+E52</f>
        <v>187918076.64999998</v>
      </c>
      <c r="G51" s="93"/>
      <c r="H51" s="5"/>
    </row>
    <row r="52" spans="1:8" ht="15.75" hidden="1" thickBot="1" x14ac:dyDescent="0.3">
      <c r="A52" s="98"/>
      <c r="B52" s="2" t="s">
        <v>35</v>
      </c>
      <c r="C52" s="96">
        <f t="shared" ref="C52:D52" si="5">SUM(C49:C51)</f>
        <v>183918076.64999998</v>
      </c>
      <c r="D52" s="96">
        <f t="shared" si="5"/>
        <v>169673525.64999998</v>
      </c>
      <c r="E52" s="96">
        <f>SUM(E49:E51)</f>
        <v>187918076.64999998</v>
      </c>
      <c r="F52" s="297">
        <f>SUM(F49:F51)</f>
        <v>213432814.64999998</v>
      </c>
      <c r="G52" s="100"/>
      <c r="H52" s="5"/>
    </row>
    <row r="53" spans="1:8" hidden="1" x14ac:dyDescent="0.25">
      <c r="A53" s="98"/>
      <c r="B53" s="85"/>
      <c r="C53" s="74"/>
      <c r="D53" s="84"/>
      <c r="E53" s="74"/>
      <c r="F53" s="295"/>
      <c r="G53" s="83"/>
      <c r="H53" s="5"/>
    </row>
    <row r="54" spans="1:8" x14ac:dyDescent="0.25">
      <c r="A54" s="299"/>
      <c r="B54" s="300"/>
      <c r="C54" s="301"/>
      <c r="D54" s="301"/>
      <c r="E54" s="301"/>
      <c r="F54" s="302"/>
      <c r="G54" s="83"/>
    </row>
    <row r="55" spans="1:8" x14ac:dyDescent="0.25">
      <c r="A55" s="299"/>
      <c r="B55" s="299"/>
      <c r="C55" s="301"/>
      <c r="D55" s="301"/>
      <c r="E55" s="301"/>
      <c r="F55" s="302"/>
      <c r="G55" s="74"/>
    </row>
    <row r="56" spans="1:8" x14ac:dyDescent="0.25">
      <c r="A56" s="299"/>
      <c r="B56" s="299"/>
      <c r="C56" s="301"/>
      <c r="D56" s="301"/>
      <c r="E56" s="301"/>
      <c r="F56" s="302"/>
      <c r="G56" s="74"/>
    </row>
    <row r="57" spans="1:8" x14ac:dyDescent="0.25">
      <c r="A57" s="299"/>
      <c r="B57" s="299"/>
      <c r="C57" s="301"/>
      <c r="D57" s="301"/>
      <c r="E57" s="301"/>
      <c r="F57" s="302"/>
      <c r="G57" s="74"/>
    </row>
    <row r="58" spans="1:8" x14ac:dyDescent="0.25">
      <c r="A58" s="299"/>
      <c r="B58" s="300"/>
      <c r="C58" s="301"/>
      <c r="D58" s="301"/>
      <c r="E58" s="301"/>
      <c r="F58" s="303"/>
      <c r="G58" s="74"/>
    </row>
    <row r="59" spans="1:8" x14ac:dyDescent="0.25">
      <c r="A59" s="299"/>
      <c r="B59" s="299"/>
      <c r="C59" s="301"/>
      <c r="D59" s="301"/>
      <c r="E59" s="301"/>
      <c r="F59" s="301"/>
      <c r="G59" s="74"/>
    </row>
    <row r="60" spans="1:8" x14ac:dyDescent="0.25">
      <c r="A60" s="299"/>
      <c r="B60" s="299"/>
      <c r="C60" s="301"/>
      <c r="D60" s="301"/>
      <c r="E60" s="301"/>
      <c r="F60" s="301"/>
      <c r="G60" s="98"/>
    </row>
    <row r="61" spans="1:8" x14ac:dyDescent="0.25">
      <c r="A61" s="98"/>
      <c r="B61" s="98"/>
      <c r="C61" s="99"/>
      <c r="D61" s="99"/>
      <c r="E61" s="99"/>
      <c r="F61" s="99"/>
      <c r="G61" s="98"/>
    </row>
    <row r="62" spans="1:8" x14ac:dyDescent="0.25">
      <c r="A62" s="98"/>
      <c r="B62" s="98"/>
      <c r="C62" s="99"/>
      <c r="D62" s="99"/>
      <c r="E62" s="99"/>
      <c r="F62" s="99"/>
      <c r="G62" s="98"/>
    </row>
    <row r="63" spans="1:8" x14ac:dyDescent="0.25">
      <c r="A63" s="98"/>
      <c r="B63" s="98"/>
      <c r="C63" s="99"/>
      <c r="D63" s="99"/>
      <c r="E63" s="99"/>
      <c r="F63" s="102"/>
      <c r="G63" s="98"/>
    </row>
    <row r="64" spans="1:8" x14ac:dyDescent="0.25">
      <c r="A64" s="98"/>
      <c r="B64" s="98"/>
      <c r="C64" s="99"/>
      <c r="D64" s="99"/>
      <c r="E64" s="99"/>
      <c r="F64" s="99"/>
      <c r="G64" s="98"/>
    </row>
    <row r="65" spans="1:7" x14ac:dyDescent="0.25">
      <c r="A65" s="98"/>
      <c r="B65" s="98"/>
      <c r="C65" s="99"/>
      <c r="D65" s="99"/>
      <c r="E65" s="99"/>
      <c r="F65" s="99"/>
      <c r="G65" s="98"/>
    </row>
    <row r="66" spans="1:7" x14ac:dyDescent="0.25">
      <c r="A66" s="98"/>
      <c r="B66" s="98"/>
      <c r="C66" s="99"/>
      <c r="D66" s="99"/>
      <c r="E66" s="99"/>
      <c r="F66" s="99"/>
      <c r="G66" s="98"/>
    </row>
  </sheetData>
  <mergeCells count="3">
    <mergeCell ref="B1:G1"/>
    <mergeCell ref="B2:G2"/>
    <mergeCell ref="S39:U39"/>
  </mergeCells>
  <pageMargins left="0.7" right="0.7" top="0.75" bottom="0.75" header="0.3" footer="0.3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5CCF-8628-4C53-80FB-B27F87AB08FE}">
  <sheetPr>
    <tabColor rgb="FF33CC33"/>
  </sheetPr>
  <dimension ref="A1:AA66"/>
  <sheetViews>
    <sheetView topLeftCell="A4" zoomScaleNormal="100" workbookViewId="0">
      <selection activeCell="J17" sqref="J17"/>
    </sheetView>
  </sheetViews>
  <sheetFormatPr defaultRowHeight="15" x14ac:dyDescent="0.25"/>
  <cols>
    <col min="1" max="1" width="5.5703125" style="56" customWidth="1"/>
    <col min="2" max="2" width="40.42578125" style="56" customWidth="1"/>
    <col min="3" max="3" width="15.5703125" style="29" customWidth="1"/>
    <col min="4" max="4" width="16.85546875" style="29" customWidth="1"/>
    <col min="5" max="5" width="16.140625" style="29" hidden="1" customWidth="1"/>
    <col min="6" max="6" width="16.7109375" style="29" bestFit="1" customWidth="1"/>
    <col min="7" max="7" width="18.140625" style="56" customWidth="1"/>
    <col min="11" max="15" width="0" hidden="1" customWidth="1"/>
    <col min="17" max="17" width="27.42578125" bestFit="1" customWidth="1"/>
    <col min="18" max="18" width="0.85546875" customWidth="1"/>
    <col min="20" max="20" width="1.140625" customWidth="1"/>
    <col min="22" max="22" width="1" customWidth="1"/>
    <col min="24" max="24" width="0.42578125" customWidth="1"/>
    <col min="26" max="26" width="1.140625" customWidth="1"/>
  </cols>
  <sheetData>
    <row r="1" spans="1:27" x14ac:dyDescent="0.25">
      <c r="A1" s="98"/>
      <c r="B1" s="361" t="s">
        <v>0</v>
      </c>
      <c r="C1" s="361"/>
      <c r="D1" s="361"/>
      <c r="E1" s="361"/>
      <c r="F1" s="361"/>
      <c r="G1" s="361"/>
    </row>
    <row r="2" spans="1:27" x14ac:dyDescent="0.25">
      <c r="A2" s="98"/>
      <c r="B2" s="361" t="s">
        <v>150</v>
      </c>
      <c r="C2" s="361"/>
      <c r="D2" s="361"/>
      <c r="E2" s="361"/>
      <c r="F2" s="361"/>
      <c r="G2" s="361"/>
    </row>
    <row r="3" spans="1:27" x14ac:dyDescent="0.25">
      <c r="A3" s="98"/>
      <c r="B3" s="18"/>
      <c r="C3" s="18"/>
      <c r="D3" s="18"/>
      <c r="E3" s="306"/>
      <c r="F3" s="82"/>
      <c r="G3" s="39" t="s">
        <v>172</v>
      </c>
    </row>
    <row r="4" spans="1:27" x14ac:dyDescent="0.25">
      <c r="A4" s="98"/>
      <c r="B4" s="8"/>
      <c r="C4" s="69"/>
      <c r="D4" s="69"/>
      <c r="E4" s="69"/>
      <c r="F4" s="69"/>
      <c r="G4" s="51" t="s">
        <v>213</v>
      </c>
    </row>
    <row r="5" spans="1:27" x14ac:dyDescent="0.25">
      <c r="A5" s="98"/>
      <c r="B5" s="9"/>
      <c r="C5" s="51" t="s">
        <v>1</v>
      </c>
      <c r="D5" s="51"/>
      <c r="E5" s="51"/>
      <c r="F5" s="51"/>
      <c r="G5" s="51" t="s">
        <v>173</v>
      </c>
    </row>
    <row r="6" spans="1:27" x14ac:dyDescent="0.25">
      <c r="A6" s="98"/>
      <c r="B6" s="9"/>
      <c r="C6" s="101" t="s">
        <v>45</v>
      </c>
      <c r="D6" s="151" t="s">
        <v>154</v>
      </c>
      <c r="E6" s="51" t="s">
        <v>157</v>
      </c>
      <c r="F6" s="3" t="s">
        <v>211</v>
      </c>
      <c r="G6" s="51" t="s">
        <v>214</v>
      </c>
    </row>
    <row r="7" spans="1:27" x14ac:dyDescent="0.25">
      <c r="A7" s="98"/>
      <c r="B7" s="85"/>
      <c r="C7" s="53" t="s">
        <v>171</v>
      </c>
      <c r="D7" s="63" t="s">
        <v>174</v>
      </c>
      <c r="E7" s="53" t="s">
        <v>170</v>
      </c>
      <c r="F7" s="62" t="s">
        <v>212</v>
      </c>
      <c r="G7" s="53" t="s">
        <v>211</v>
      </c>
    </row>
    <row r="8" spans="1:27" x14ac:dyDescent="0.25">
      <c r="A8" s="98"/>
      <c r="B8" s="2" t="s">
        <v>3</v>
      </c>
      <c r="C8" s="74"/>
      <c r="D8" s="84"/>
      <c r="E8" s="74"/>
      <c r="F8" s="85"/>
      <c r="G8" s="74"/>
    </row>
    <row r="9" spans="1:27" x14ac:dyDescent="0.25">
      <c r="A9" s="98"/>
      <c r="B9" s="46" t="s">
        <v>36</v>
      </c>
      <c r="C9" s="68">
        <f>SUM('GF Rev by Obj'!D8:D10)</f>
        <v>403544058.29000002</v>
      </c>
      <c r="D9" s="48">
        <f>ROUND(SUM('GF Rev by Obj'!F8:F10),0)</f>
        <v>412745478</v>
      </c>
      <c r="E9" s="48">
        <f>+'GF Rev by Obj'!H8+'GF Rev by Obj'!H9+'GF Rev by Obj'!H10</f>
        <v>340106257.41000003</v>
      </c>
      <c r="F9" s="48">
        <f>ROUND(SUM('GF Rev by Obj'!I8:I10),0)</f>
        <v>438366366</v>
      </c>
      <c r="G9" s="48">
        <f>+F9-D9</f>
        <v>25620888</v>
      </c>
    </row>
    <row r="10" spans="1:27" x14ac:dyDescent="0.25">
      <c r="A10" s="98"/>
      <c r="B10" s="46" t="s">
        <v>37</v>
      </c>
      <c r="C10" s="65">
        <f>SUM('GF Rev by Obj'!D11:D23)</f>
        <v>17752251.190000001</v>
      </c>
      <c r="D10" s="55">
        <f>ROUND(SUM('GF Rev by Obj'!F11:F23),0)</f>
        <v>15624315</v>
      </c>
      <c r="E10" s="55">
        <f>+'GF Rev by Obj'!H24-'GF by funct '!F9</f>
        <v>10688132.640000045</v>
      </c>
      <c r="F10" s="55">
        <f>ROUND(SUM('GF Rev by Obj'!I11:I23),0)</f>
        <v>15918603</v>
      </c>
      <c r="G10" s="55">
        <f>+F10-D10</f>
        <v>294288</v>
      </c>
    </row>
    <row r="11" spans="1:27" x14ac:dyDescent="0.25">
      <c r="A11" s="98"/>
      <c r="B11" s="46" t="s">
        <v>38</v>
      </c>
      <c r="C11" s="65">
        <f>'GF Rev by Obj'!D33</f>
        <v>67319893.579999998</v>
      </c>
      <c r="D11" s="67">
        <f>ROUND(SUM('GF Rev by Obj'!F27:F32),0)</f>
        <v>54426648</v>
      </c>
      <c r="E11" s="86">
        <f>+'GF Rev by Obj'!H33</f>
        <v>68640250.579999998</v>
      </c>
      <c r="F11" s="86">
        <f>ROUND(SUM('GF Rev by Obj'!I27:I32),0)</f>
        <v>66397489</v>
      </c>
      <c r="G11" s="55">
        <f t="shared" ref="G11:G12" si="0">+F11-D11</f>
        <v>11970841</v>
      </c>
    </row>
    <row r="12" spans="1:27" x14ac:dyDescent="0.25">
      <c r="A12" s="98"/>
      <c r="B12" s="46" t="s">
        <v>42</v>
      </c>
      <c r="C12" s="65">
        <f>'GF Rev by Obj'!D42</f>
        <v>10496526.029999999</v>
      </c>
      <c r="D12" s="67">
        <f>SUM('GF Rev by Obj'!F36:F41)</f>
        <v>6699000</v>
      </c>
      <c r="E12" s="67">
        <f>+'GF Rev by Obj'!H42</f>
        <v>6607038.4800000004</v>
      </c>
      <c r="F12" s="67">
        <f>ROUND(SUM('GF Rev by Obj'!I36:I41),0)</f>
        <v>9994113</v>
      </c>
      <c r="G12" s="55">
        <f t="shared" si="0"/>
        <v>3295113</v>
      </c>
    </row>
    <row r="13" spans="1:27" x14ac:dyDescent="0.25">
      <c r="A13" s="98"/>
      <c r="B13" s="40" t="s">
        <v>191</v>
      </c>
      <c r="C13" s="87">
        <f t="shared" ref="C13:D13" si="1">SUM(C9:C12)</f>
        <v>499112729.08999997</v>
      </c>
      <c r="D13" s="87">
        <f t="shared" si="1"/>
        <v>489495441</v>
      </c>
      <c r="E13" s="87">
        <f>SUM(E9:E12)</f>
        <v>426041679.11000007</v>
      </c>
      <c r="F13" s="87">
        <f>SUM(F9:F12)</f>
        <v>530676571</v>
      </c>
      <c r="G13" s="298">
        <f>SUM(G9:G12)</f>
        <v>41181130</v>
      </c>
    </row>
    <row r="14" spans="1:27" x14ac:dyDescent="0.25">
      <c r="A14" s="98"/>
      <c r="B14" s="85"/>
      <c r="C14" s="99"/>
      <c r="D14" s="84"/>
      <c r="E14" s="74"/>
      <c r="F14" s="74"/>
      <c r="G14" s="74"/>
    </row>
    <row r="15" spans="1:27" x14ac:dyDescent="0.25">
      <c r="A15" s="98"/>
      <c r="B15" s="2" t="s">
        <v>4</v>
      </c>
      <c r="C15" s="99"/>
      <c r="D15" s="84"/>
      <c r="E15" s="74"/>
      <c r="F15" s="74"/>
      <c r="G15" s="74"/>
      <c r="Q15" s="56"/>
      <c r="R15" s="56"/>
      <c r="S15" s="313">
        <v>5.0000000000000001E-3</v>
      </c>
      <c r="T15" s="316"/>
      <c r="U15" s="314">
        <v>0.01</v>
      </c>
      <c r="V15" s="314"/>
      <c r="W15" s="314">
        <v>0.02</v>
      </c>
      <c r="X15" s="314"/>
      <c r="Y15" s="323">
        <v>2.5000000000000001E-2</v>
      </c>
      <c r="Z15" s="313"/>
      <c r="AA15" s="327">
        <v>0.03</v>
      </c>
    </row>
    <row r="16" spans="1:27" x14ac:dyDescent="0.25">
      <c r="A16" s="98">
        <v>11</v>
      </c>
      <c r="B16" s="75" t="s">
        <v>5</v>
      </c>
      <c r="C16" s="65">
        <v>295395689</v>
      </c>
      <c r="D16" s="65">
        <f>'GF Exp by Func &amp; Mj Obj '!D14</f>
        <v>293273194</v>
      </c>
      <c r="E16" s="55">
        <f>250400383.36+1130569.45+209709.09</f>
        <v>251740661.90000001</v>
      </c>
      <c r="F16" s="65" t="e">
        <f>#REF!</f>
        <v>#REF!</v>
      </c>
      <c r="G16" s="55" t="e">
        <f>+F16-D16</f>
        <v>#REF!</v>
      </c>
      <c r="Q16" s="56"/>
      <c r="R16" s="56"/>
      <c r="S16" s="49">
        <v>1132601</v>
      </c>
      <c r="T16" s="317"/>
      <c r="U16" s="49">
        <v>2270851</v>
      </c>
      <c r="V16" s="49"/>
      <c r="W16" s="49">
        <v>4564297</v>
      </c>
      <c r="X16" s="49"/>
      <c r="Y16" s="49">
        <v>5719493</v>
      </c>
      <c r="Z16" s="49"/>
      <c r="AA16" s="49">
        <v>6880338</v>
      </c>
    </row>
    <row r="17" spans="1:27" x14ac:dyDescent="0.25">
      <c r="A17" s="98">
        <v>12</v>
      </c>
      <c r="B17" s="75" t="s">
        <v>6</v>
      </c>
      <c r="C17" s="65">
        <v>6704398</v>
      </c>
      <c r="D17" s="65">
        <f>'GF Exp by Func &amp; Mj Obj '!D21</f>
        <v>6465934</v>
      </c>
      <c r="E17" s="55">
        <f>5814724.33+25963.26</f>
        <v>5840687.5899999999</v>
      </c>
      <c r="F17" s="65" t="e">
        <f>#REF!</f>
        <v>#REF!</v>
      </c>
      <c r="G17" s="55" t="e">
        <f t="shared" ref="G17:G37" si="2">+F17-D17</f>
        <v>#REF!</v>
      </c>
      <c r="Q17" s="56"/>
      <c r="R17" s="56"/>
      <c r="S17" s="49">
        <v>22846</v>
      </c>
      <c r="T17" s="317"/>
      <c r="U17" s="49">
        <v>45806</v>
      </c>
      <c r="V17" s="49"/>
      <c r="W17" s="49">
        <v>92067</v>
      </c>
      <c r="X17" s="49"/>
      <c r="Y17" s="49">
        <v>115368</v>
      </c>
      <c r="Z17" s="49"/>
      <c r="AA17" s="49">
        <v>138784</v>
      </c>
    </row>
    <row r="18" spans="1:27" x14ac:dyDescent="0.25">
      <c r="A18" s="98">
        <v>13</v>
      </c>
      <c r="B18" s="75" t="s">
        <v>7</v>
      </c>
      <c r="C18" s="65">
        <v>2314061</v>
      </c>
      <c r="D18" s="65">
        <f>'GF Exp by Func &amp; Mj Obj '!D28</f>
        <v>2414835</v>
      </c>
      <c r="E18" s="55">
        <f>1794486.14+44257.66+5953.05</f>
        <v>1844696.8499999999</v>
      </c>
      <c r="F18" s="65" t="e">
        <f>#REF!</f>
        <v>#REF!</v>
      </c>
      <c r="G18" s="55" t="e">
        <f t="shared" si="2"/>
        <v>#REF!</v>
      </c>
      <c r="Q18" s="56"/>
      <c r="R18" s="56"/>
      <c r="S18" s="49">
        <v>3491</v>
      </c>
      <c r="T18" s="317"/>
      <c r="U18" s="49">
        <v>7000</v>
      </c>
      <c r="V18" s="49"/>
      <c r="W18" s="49">
        <v>14070</v>
      </c>
      <c r="X18" s="49"/>
      <c r="Y18" s="49">
        <v>17631</v>
      </c>
      <c r="Z18" s="49"/>
      <c r="AA18" s="49">
        <v>21210</v>
      </c>
    </row>
    <row r="19" spans="1:27" x14ac:dyDescent="0.25">
      <c r="A19" s="98">
        <v>21</v>
      </c>
      <c r="B19" s="75" t="s">
        <v>8</v>
      </c>
      <c r="C19" s="65">
        <v>10129682</v>
      </c>
      <c r="D19" s="65">
        <f>'GF Exp by Func &amp; Mj Obj '!D35</f>
        <v>11003797</v>
      </c>
      <c r="E19" s="55">
        <f>8345619.99+25239.09+9358.83</f>
        <v>8380217.9100000001</v>
      </c>
      <c r="F19" s="65" t="e">
        <f>#REF!</f>
        <v>#REF!</v>
      </c>
      <c r="G19" s="55" t="e">
        <f t="shared" si="2"/>
        <v>#REF!</v>
      </c>
      <c r="Q19" s="56"/>
      <c r="R19" s="56"/>
      <c r="S19" s="49">
        <v>44324</v>
      </c>
      <c r="T19" s="317"/>
      <c r="U19" s="49">
        <v>88868</v>
      </c>
      <c r="V19" s="49"/>
      <c r="W19" s="49">
        <v>178621</v>
      </c>
      <c r="X19" s="49"/>
      <c r="Y19" s="49">
        <v>223829</v>
      </c>
      <c r="Z19" s="49"/>
      <c r="AA19" s="49">
        <v>269258</v>
      </c>
    </row>
    <row r="20" spans="1:27" x14ac:dyDescent="0.25">
      <c r="A20" s="98">
        <v>23</v>
      </c>
      <c r="B20" s="75" t="s">
        <v>9</v>
      </c>
      <c r="C20" s="65">
        <v>32352945</v>
      </c>
      <c r="D20" s="65">
        <f>'GF Exp by Func &amp; Mj Obj '!D42</f>
        <v>31911220</v>
      </c>
      <c r="E20" s="55">
        <f>27280216.66+37261.82+2596.94</f>
        <v>27320075.420000002</v>
      </c>
      <c r="F20" s="65" t="e">
        <f>#REF!</f>
        <v>#REF!</v>
      </c>
      <c r="G20" s="55" t="e">
        <f t="shared" si="2"/>
        <v>#REF!</v>
      </c>
      <c r="Q20" s="56"/>
      <c r="R20" s="56"/>
      <c r="S20" s="49">
        <v>267545</v>
      </c>
      <c r="T20" s="317"/>
      <c r="U20" s="49">
        <v>399849</v>
      </c>
      <c r="V20" s="49"/>
      <c r="W20" s="49">
        <v>666418</v>
      </c>
      <c r="X20" s="49"/>
      <c r="Y20" s="49">
        <v>800682</v>
      </c>
      <c r="Z20" s="49"/>
      <c r="AA20" s="49">
        <v>935599</v>
      </c>
    </row>
    <row r="21" spans="1:27" x14ac:dyDescent="0.25">
      <c r="A21" s="98">
        <v>31</v>
      </c>
      <c r="B21" s="75" t="s">
        <v>10</v>
      </c>
      <c r="C21" s="65">
        <v>21563709</v>
      </c>
      <c r="D21" s="65">
        <f>'GF Exp by Func &amp; Mj Obj '!D49</f>
        <v>23375391</v>
      </c>
      <c r="E21" s="55">
        <f>17672092.61+27695.72+2957.4</f>
        <v>17702745.729999997</v>
      </c>
      <c r="F21" s="65" t="e">
        <f>#REF!</f>
        <v>#REF!</v>
      </c>
      <c r="G21" s="55" t="e">
        <f t="shared" si="2"/>
        <v>#REF!</v>
      </c>
      <c r="Q21" s="56"/>
      <c r="R21" s="56"/>
      <c r="S21" s="49">
        <v>94301</v>
      </c>
      <c r="T21" s="317"/>
      <c r="U21" s="49">
        <v>189073</v>
      </c>
      <c r="V21" s="49"/>
      <c r="W21" s="49">
        <v>380028</v>
      </c>
      <c r="X21" s="49"/>
      <c r="Y21" s="49">
        <v>476211</v>
      </c>
      <c r="Z21" s="49"/>
      <c r="AA21" s="49">
        <v>572864</v>
      </c>
    </row>
    <row r="22" spans="1:27" x14ac:dyDescent="0.25">
      <c r="A22" s="98">
        <v>32</v>
      </c>
      <c r="B22" s="75" t="s">
        <v>11</v>
      </c>
      <c r="C22" s="65">
        <v>325302</v>
      </c>
      <c r="D22" s="65">
        <f>'GF Exp by Func &amp; Mj Obj '!D62</f>
        <v>238327</v>
      </c>
      <c r="E22" s="55">
        <f>882531.74+4177.2</f>
        <v>886708.94</v>
      </c>
      <c r="F22" s="65" t="e">
        <f>#REF!</f>
        <v>#REF!</v>
      </c>
      <c r="G22" s="55" t="e">
        <f t="shared" si="2"/>
        <v>#REF!</v>
      </c>
      <c r="Q22" s="56"/>
      <c r="R22" s="56"/>
      <c r="S22" s="49">
        <v>1025</v>
      </c>
      <c r="T22" s="317"/>
      <c r="U22" s="49">
        <v>2056</v>
      </c>
      <c r="V22" s="49"/>
      <c r="W22" s="49">
        <v>4132</v>
      </c>
      <c r="X22" s="49"/>
      <c r="Y22" s="49">
        <v>5177</v>
      </c>
      <c r="Z22" s="49"/>
      <c r="AA22" s="49">
        <v>6228</v>
      </c>
    </row>
    <row r="23" spans="1:27" x14ac:dyDescent="0.25">
      <c r="A23" s="98">
        <v>33</v>
      </c>
      <c r="B23" s="75" t="s">
        <v>12</v>
      </c>
      <c r="C23" s="65">
        <v>5664211</v>
      </c>
      <c r="D23" s="65">
        <f>'GF Exp by Func &amp; Mj Obj '!D69</f>
        <v>5594606</v>
      </c>
      <c r="E23" s="55">
        <f>4740397.6+6234.27+7.08</f>
        <v>4746638.9499999993</v>
      </c>
      <c r="F23" s="65" t="e">
        <f>#REF!</f>
        <v>#REF!</v>
      </c>
      <c r="G23" s="55" t="e">
        <f t="shared" si="2"/>
        <v>#REF!</v>
      </c>
      <c r="Q23" s="56"/>
      <c r="R23" s="56"/>
      <c r="S23" s="49">
        <v>22368</v>
      </c>
      <c r="T23" s="317"/>
      <c r="U23" s="49">
        <v>44847</v>
      </c>
      <c r="V23" s="49"/>
      <c r="W23" s="49">
        <v>90140</v>
      </c>
      <c r="X23" s="49"/>
      <c r="Y23" s="49">
        <v>112954</v>
      </c>
      <c r="Z23" s="49"/>
      <c r="AA23" s="49">
        <v>135880</v>
      </c>
    </row>
    <row r="24" spans="1:27" x14ac:dyDescent="0.25">
      <c r="A24" s="98">
        <v>34</v>
      </c>
      <c r="B24" s="75" t="s">
        <v>13</v>
      </c>
      <c r="C24" s="65">
        <v>15515870</v>
      </c>
      <c r="D24" s="65">
        <f>'GF Exp by Func &amp; Mj Obj '!D74</f>
        <v>16090184</v>
      </c>
      <c r="E24" s="55">
        <f>13071453.53+4042.13</f>
        <v>13075495.66</v>
      </c>
      <c r="F24" s="65" t="e">
        <f>#REF!</f>
        <v>#REF!</v>
      </c>
      <c r="G24" s="55" t="e">
        <f t="shared" si="2"/>
        <v>#REF!</v>
      </c>
      <c r="Q24" s="56"/>
      <c r="R24" s="56"/>
      <c r="S24" s="49">
        <v>161</v>
      </c>
      <c r="T24" s="317"/>
      <c r="U24" s="49">
        <v>323</v>
      </c>
      <c r="V24" s="49"/>
      <c r="W24" s="49">
        <v>650</v>
      </c>
      <c r="X24" s="49"/>
      <c r="Y24" s="49">
        <v>814</v>
      </c>
      <c r="Z24" s="49"/>
      <c r="AA24" s="49">
        <v>979</v>
      </c>
    </row>
    <row r="25" spans="1:27" x14ac:dyDescent="0.25">
      <c r="A25" s="98">
        <v>35</v>
      </c>
      <c r="B25" s="75" t="s">
        <v>14</v>
      </c>
      <c r="C25" s="65">
        <v>35900</v>
      </c>
      <c r="D25" s="65">
        <f>'GF Exp by Func &amp; Mj Obj '!D82</f>
        <v>36646</v>
      </c>
      <c r="E25" s="55">
        <f>58137.95</f>
        <v>58137.95</v>
      </c>
      <c r="F25" s="65" t="e">
        <f>#REF!</f>
        <v>#REF!</v>
      </c>
      <c r="G25" s="55" t="e">
        <f t="shared" si="2"/>
        <v>#REF!</v>
      </c>
      <c r="Q25" s="56"/>
      <c r="R25" s="56"/>
      <c r="S25" s="49">
        <v>161</v>
      </c>
      <c r="T25" s="317"/>
      <c r="U25" s="49">
        <v>323</v>
      </c>
      <c r="V25" s="49"/>
      <c r="W25" s="49">
        <v>650</v>
      </c>
      <c r="X25" s="49"/>
      <c r="Y25" s="49">
        <v>814</v>
      </c>
      <c r="Z25" s="49"/>
      <c r="AA25" s="49">
        <v>979</v>
      </c>
    </row>
    <row r="26" spans="1:27" x14ac:dyDescent="0.25">
      <c r="A26" s="98">
        <v>36</v>
      </c>
      <c r="B26" s="75" t="s">
        <v>15</v>
      </c>
      <c r="C26" s="65">
        <v>10350197</v>
      </c>
      <c r="D26" s="65">
        <f>'GF Exp by Func &amp; Mj Obj '!D90</f>
        <v>12216127</v>
      </c>
      <c r="E26" s="55">
        <f>9625460.54+297750.93+3086.26</f>
        <v>9926297.7299999986</v>
      </c>
      <c r="F26" s="65" t="e">
        <f>#REF!</f>
        <v>#REF!</v>
      </c>
      <c r="G26" s="55" t="e">
        <f t="shared" si="2"/>
        <v>#REF!</v>
      </c>
      <c r="Q26" s="56"/>
      <c r="R26" s="56"/>
      <c r="S26" s="49">
        <v>6128</v>
      </c>
      <c r="T26" s="317"/>
      <c r="U26" s="49">
        <v>12286</v>
      </c>
      <c r="V26" s="49"/>
      <c r="W26" s="49">
        <v>24694</v>
      </c>
      <c r="X26" s="49"/>
      <c r="Y26" s="49">
        <v>30944</v>
      </c>
      <c r="Z26" s="49"/>
      <c r="AA26" s="49">
        <v>37225</v>
      </c>
    </row>
    <row r="27" spans="1:27" x14ac:dyDescent="0.25">
      <c r="A27" s="98">
        <v>41</v>
      </c>
      <c r="B27" s="75" t="s">
        <v>16</v>
      </c>
      <c r="C27" s="65">
        <v>9704712</v>
      </c>
      <c r="D27" s="65">
        <f>'GF Exp by Func &amp; Mj Obj '!D97</f>
        <v>11153664</v>
      </c>
      <c r="E27" s="55">
        <f>8618600.5+139318.83+5504.88</f>
        <v>8763424.2100000009</v>
      </c>
      <c r="F27" s="65" t="e">
        <f>#REF!</f>
        <v>#REF!</v>
      </c>
      <c r="G27" s="55" t="e">
        <f t="shared" si="2"/>
        <v>#REF!</v>
      </c>
      <c r="Q27" s="56"/>
      <c r="R27" s="56"/>
      <c r="S27" s="49">
        <v>176557</v>
      </c>
      <c r="T27" s="317"/>
      <c r="U27" s="49">
        <v>206743</v>
      </c>
      <c r="V27" s="49"/>
      <c r="W27" s="49">
        <v>267554</v>
      </c>
      <c r="X27" s="49"/>
      <c r="Y27" s="49">
        <v>298178</v>
      </c>
      <c r="Z27" s="49"/>
      <c r="AA27" s="49">
        <v>328949</v>
      </c>
    </row>
    <row r="28" spans="1:27" x14ac:dyDescent="0.25">
      <c r="A28" s="98">
        <v>51</v>
      </c>
      <c r="B28" s="75" t="s">
        <v>17</v>
      </c>
      <c r="C28" s="65">
        <v>39886191</v>
      </c>
      <c r="D28" s="65">
        <f>'GF Exp by Func &amp; Mj Obj '!D105</f>
        <v>43425543</v>
      </c>
      <c r="E28" s="55">
        <f>29174837.07+2425224.96+2294125.51</f>
        <v>33894187.539999999</v>
      </c>
      <c r="F28" s="65" t="e">
        <f>#REF!</f>
        <v>#REF!</v>
      </c>
      <c r="G28" s="55" t="e">
        <f t="shared" si="2"/>
        <v>#REF!</v>
      </c>
      <c r="Q28" s="56"/>
      <c r="R28" s="56"/>
      <c r="S28" s="49">
        <v>29491</v>
      </c>
      <c r="T28" s="317"/>
      <c r="U28" s="49">
        <v>59128</v>
      </c>
      <c r="V28" s="49"/>
      <c r="W28" s="49">
        <v>118845</v>
      </c>
      <c r="X28" s="49"/>
      <c r="Y28" s="49">
        <v>148924</v>
      </c>
      <c r="Z28" s="49"/>
      <c r="AA28" s="49">
        <v>179150</v>
      </c>
    </row>
    <row r="29" spans="1:27" x14ac:dyDescent="0.25">
      <c r="A29" s="98">
        <v>52</v>
      </c>
      <c r="B29" s="75" t="s">
        <v>18</v>
      </c>
      <c r="C29" s="65">
        <v>2116763</v>
      </c>
      <c r="D29" s="65">
        <f>'GF Exp by Func &amp; Mj Obj '!D120</f>
        <v>3368639</v>
      </c>
      <c r="E29" s="55">
        <f>1841394.27+178803.49</f>
        <v>2020197.76</v>
      </c>
      <c r="F29" s="65" t="e">
        <f>#REF!</f>
        <v>#REF!</v>
      </c>
      <c r="G29" s="55" t="e">
        <f t="shared" si="2"/>
        <v>#REF!</v>
      </c>
      <c r="Q29" s="56"/>
      <c r="R29" s="56"/>
      <c r="S29" s="49">
        <v>4450</v>
      </c>
      <c r="T29" s="317"/>
      <c r="U29" s="49">
        <v>8923</v>
      </c>
      <c r="V29" s="49"/>
      <c r="W29" s="49">
        <v>17934</v>
      </c>
      <c r="X29" s="49"/>
      <c r="Y29" s="49">
        <v>22473</v>
      </c>
      <c r="Z29" s="49"/>
      <c r="AA29" s="49">
        <v>27034</v>
      </c>
    </row>
    <row r="30" spans="1:27" x14ac:dyDescent="0.25">
      <c r="A30" s="98">
        <v>53</v>
      </c>
      <c r="B30" s="75" t="s">
        <v>19</v>
      </c>
      <c r="C30" s="65">
        <v>11022216</v>
      </c>
      <c r="D30" s="65">
        <f>'GF Exp by Func &amp; Mj Obj '!D128</f>
        <v>12184537</v>
      </c>
      <c r="E30" s="55">
        <f>8788849.2+210912.26+117966.87</f>
        <v>9117728.3299999982</v>
      </c>
      <c r="F30" s="65" t="e">
        <f>#REF!</f>
        <v>#REF!</v>
      </c>
      <c r="G30" s="55" t="e">
        <f t="shared" si="2"/>
        <v>#REF!</v>
      </c>
      <c r="Q30" s="56"/>
      <c r="R30" s="56"/>
      <c r="S30" s="49">
        <v>31746</v>
      </c>
      <c r="T30" s="317"/>
      <c r="U30" s="49">
        <v>63650</v>
      </c>
      <c r="V30" s="49"/>
      <c r="W30" s="49">
        <v>127934</v>
      </c>
      <c r="X30" s="49"/>
      <c r="Y30" s="49">
        <v>160314</v>
      </c>
      <c r="Z30" s="49"/>
      <c r="AA30" s="49">
        <v>192851</v>
      </c>
    </row>
    <row r="31" spans="1:27" x14ac:dyDescent="0.25">
      <c r="A31" s="98">
        <v>61</v>
      </c>
      <c r="B31" s="75" t="s">
        <v>20</v>
      </c>
      <c r="C31" s="65">
        <v>6605359</v>
      </c>
      <c r="D31" s="65">
        <f>'GF Exp by Func &amp; Mj Obj '!D135</f>
        <v>8804966</v>
      </c>
      <c r="E31" s="55">
        <f>5386295.69+19884.79+95.47</f>
        <v>5406275.9500000002</v>
      </c>
      <c r="F31" s="65" t="e">
        <f>#REF!</f>
        <v>#REF!</v>
      </c>
      <c r="G31" s="55" t="e">
        <f t="shared" si="2"/>
        <v>#REF!</v>
      </c>
      <c r="Q31" s="56"/>
      <c r="R31" s="56"/>
      <c r="S31" s="49">
        <v>25783</v>
      </c>
      <c r="T31" s="317"/>
      <c r="U31" s="49">
        <v>51969</v>
      </c>
      <c r="V31" s="49"/>
      <c r="W31" s="49">
        <v>103906</v>
      </c>
      <c r="X31" s="49"/>
      <c r="Y31" s="49">
        <v>130203</v>
      </c>
      <c r="Z31" s="49"/>
      <c r="AA31" s="49">
        <v>156630</v>
      </c>
    </row>
    <row r="32" spans="1:27" x14ac:dyDescent="0.25">
      <c r="A32" s="98">
        <v>71</v>
      </c>
      <c r="B32" s="75" t="s">
        <v>21</v>
      </c>
      <c r="C32" s="65">
        <v>658425</v>
      </c>
      <c r="D32" s="65">
        <f>'GF Exp by Func &amp; Mj Obj '!D140</f>
        <v>0</v>
      </c>
      <c r="E32" s="55">
        <f>658425.2</f>
        <v>658425.19999999995</v>
      </c>
      <c r="F32" s="65">
        <f>'2.5% Pay Increase'!E139</f>
        <v>0</v>
      </c>
      <c r="G32" s="55">
        <f t="shared" si="2"/>
        <v>0</v>
      </c>
      <c r="Q32" s="56"/>
      <c r="R32" s="56"/>
      <c r="S32" s="49"/>
      <c r="T32" s="317"/>
      <c r="U32" s="49"/>
      <c r="V32" s="49"/>
      <c r="W32" s="49"/>
      <c r="X32" s="49"/>
      <c r="Y32" s="49"/>
      <c r="Z32" s="49"/>
      <c r="AA32" s="49"/>
    </row>
    <row r="33" spans="1:27" x14ac:dyDescent="0.25">
      <c r="A33" s="98">
        <v>81</v>
      </c>
      <c r="B33" s="75" t="s">
        <v>22</v>
      </c>
      <c r="C33" s="65">
        <v>72092</v>
      </c>
      <c r="D33" s="65">
        <f>'GF Exp by Func &amp; Mj Obj '!D37</f>
        <v>0</v>
      </c>
      <c r="E33" s="55">
        <v>42834</v>
      </c>
      <c r="F33" s="65">
        <v>0</v>
      </c>
      <c r="G33" s="55">
        <f t="shared" si="2"/>
        <v>0</v>
      </c>
      <c r="Q33" s="56"/>
      <c r="R33" s="56"/>
      <c r="S33" s="49"/>
      <c r="T33" s="317"/>
      <c r="U33" s="49"/>
      <c r="V33" s="49"/>
      <c r="W33" s="49"/>
      <c r="X33" s="49"/>
      <c r="Y33" s="49"/>
      <c r="Z33" s="49"/>
      <c r="AA33" s="49"/>
    </row>
    <row r="34" spans="1:27" x14ac:dyDescent="0.25">
      <c r="A34" s="98">
        <v>91</v>
      </c>
      <c r="B34" s="75" t="s">
        <v>179</v>
      </c>
      <c r="C34" s="65">
        <v>0</v>
      </c>
      <c r="D34" s="65">
        <f>'GF Exp by Func &amp; Mj Obj '!D144</f>
        <v>18603784</v>
      </c>
      <c r="E34" s="55"/>
      <c r="F34" s="65" t="e">
        <f>#REF!</f>
        <v>#REF!</v>
      </c>
      <c r="G34" s="55" t="e">
        <f t="shared" si="2"/>
        <v>#REF!</v>
      </c>
      <c r="Q34" s="56"/>
      <c r="R34" s="56"/>
      <c r="S34" s="49"/>
      <c r="T34" s="317"/>
      <c r="U34" s="49"/>
      <c r="V34" s="49"/>
      <c r="W34" s="49"/>
      <c r="X34" s="49"/>
      <c r="Y34" s="49"/>
      <c r="Z34" s="49"/>
      <c r="AA34" s="49"/>
    </row>
    <row r="35" spans="1:27" x14ac:dyDescent="0.25">
      <c r="A35" s="98">
        <v>93</v>
      </c>
      <c r="B35" s="75" t="s">
        <v>23</v>
      </c>
      <c r="C35" s="65">
        <v>82000</v>
      </c>
      <c r="D35" s="65">
        <f>'GF Exp by Func &amp; Mj Obj '!D153</f>
        <v>210000</v>
      </c>
      <c r="E35" s="55">
        <v>210000</v>
      </c>
      <c r="F35" s="65" t="e">
        <f>#REF!</f>
        <v>#REF!</v>
      </c>
      <c r="G35" s="55" t="e">
        <f t="shared" si="2"/>
        <v>#REF!</v>
      </c>
      <c r="Q35" s="56"/>
      <c r="R35" s="56"/>
      <c r="S35" s="49"/>
      <c r="T35" s="317"/>
      <c r="U35" s="49"/>
      <c r="V35" s="49"/>
      <c r="W35" s="49"/>
      <c r="X35" s="49"/>
      <c r="Y35" s="49"/>
      <c r="Z35" s="49"/>
      <c r="AA35" s="49"/>
    </row>
    <row r="36" spans="1:27" x14ac:dyDescent="0.25">
      <c r="A36" s="98">
        <v>95</v>
      </c>
      <c r="B36" s="75" t="s">
        <v>193</v>
      </c>
      <c r="C36" s="65">
        <v>34176</v>
      </c>
      <c r="D36" s="65">
        <f>'GF Exp by Func &amp; Mj Obj '!D157</f>
        <v>200000</v>
      </c>
      <c r="E36" s="55">
        <v>200000</v>
      </c>
      <c r="F36" s="65" t="e">
        <f>#REF!</f>
        <v>#REF!</v>
      </c>
      <c r="G36" s="55" t="e">
        <f t="shared" si="2"/>
        <v>#REF!</v>
      </c>
      <c r="Q36" s="56"/>
      <c r="R36" s="56"/>
      <c r="S36" s="49"/>
      <c r="T36" s="317"/>
      <c r="U36" s="49"/>
      <c r="V36" s="49"/>
      <c r="W36" s="49"/>
      <c r="X36" s="49"/>
      <c r="Y36" s="49"/>
      <c r="Z36" s="49"/>
      <c r="AA36" s="49"/>
    </row>
    <row r="37" spans="1:27" x14ac:dyDescent="0.25">
      <c r="A37" s="98">
        <v>99</v>
      </c>
      <c r="B37" s="75" t="s">
        <v>24</v>
      </c>
      <c r="C37" s="65">
        <v>2939064</v>
      </c>
      <c r="D37" s="65">
        <f>'GF Exp by Func &amp; Mj Obj '!D161</f>
        <v>3662088</v>
      </c>
      <c r="E37" s="55">
        <v>2853235</v>
      </c>
      <c r="F37" s="65" t="e">
        <f>#REF!</f>
        <v>#REF!</v>
      </c>
      <c r="G37" s="55" t="e">
        <f t="shared" si="2"/>
        <v>#REF!</v>
      </c>
      <c r="Q37" s="56"/>
      <c r="R37" s="56"/>
      <c r="S37" s="49"/>
      <c r="T37" s="317"/>
      <c r="U37" s="49"/>
      <c r="V37" s="49"/>
      <c r="W37" s="49"/>
      <c r="X37" s="49"/>
      <c r="Y37" s="49"/>
      <c r="Z37" s="49"/>
      <c r="AA37" s="49"/>
    </row>
    <row r="38" spans="1:27" ht="15.75" thickBot="1" x14ac:dyDescent="0.3">
      <c r="A38" s="98"/>
      <c r="B38" s="2" t="s">
        <v>25</v>
      </c>
      <c r="C38" s="70">
        <f t="shared" ref="C38:D38" si="3">SUM(C16:C37)</f>
        <v>473472962</v>
      </c>
      <c r="D38" s="70">
        <f t="shared" si="3"/>
        <v>504233482</v>
      </c>
      <c r="E38" s="70">
        <f>SUM(E16:E37)</f>
        <v>404688672.62</v>
      </c>
      <c r="F38" s="318" t="e">
        <f>SUM(F16:F37)</f>
        <v>#REF!</v>
      </c>
      <c r="G38" s="70" t="e">
        <f>SUM(G16:G37)</f>
        <v>#REF!</v>
      </c>
      <c r="Q38" s="56"/>
      <c r="R38" s="56"/>
      <c r="S38" s="315">
        <f>SUM(S16:S37)</f>
        <v>1862978</v>
      </c>
      <c r="T38" s="317"/>
      <c r="U38" s="315">
        <f>SUM(U16:U37)</f>
        <v>3451695</v>
      </c>
      <c r="V38" s="317"/>
      <c r="W38" s="315">
        <f>SUM(W16:W37)</f>
        <v>6651940</v>
      </c>
      <c r="X38" s="49"/>
      <c r="Y38" s="328">
        <f>SUM(Y16:Y37)</f>
        <v>8264009</v>
      </c>
      <c r="Z38" s="49"/>
      <c r="AA38" s="326">
        <f>SUM(AA16:AA37)</f>
        <v>9883958</v>
      </c>
    </row>
    <row r="39" spans="1:27" ht="15.75" thickTop="1" x14ac:dyDescent="0.25">
      <c r="A39" s="98"/>
      <c r="B39" s="85"/>
      <c r="C39" s="99"/>
      <c r="D39" s="84"/>
      <c r="E39" s="74"/>
      <c r="F39" s="74"/>
      <c r="G39" s="74"/>
      <c r="Q39" s="56" t="s">
        <v>218</v>
      </c>
      <c r="R39" s="56"/>
      <c r="S39" s="364">
        <f>3451695-1862978</f>
        <v>1588717</v>
      </c>
      <c r="T39" s="364"/>
      <c r="U39" s="364"/>
      <c r="V39" s="56"/>
      <c r="W39" s="49">
        <f>6651940-3451695</f>
        <v>3200245</v>
      </c>
      <c r="X39" s="49"/>
      <c r="Y39" s="49">
        <f>8264009-6651940</f>
        <v>1612069</v>
      </c>
      <c r="Z39" s="49"/>
      <c r="AA39" s="49">
        <f>9883958-8264009</f>
        <v>1619949</v>
      </c>
    </row>
    <row r="40" spans="1:27" x14ac:dyDescent="0.25">
      <c r="A40" s="98"/>
      <c r="B40" s="85"/>
      <c r="C40" s="99"/>
      <c r="D40" s="84"/>
      <c r="E40" s="74"/>
      <c r="F40" s="74"/>
      <c r="G40" s="74"/>
    </row>
    <row r="41" spans="1:27" x14ac:dyDescent="0.25">
      <c r="A41" s="98"/>
      <c r="B41" s="2" t="s">
        <v>175</v>
      </c>
      <c r="C41" s="99"/>
      <c r="D41" s="84"/>
      <c r="E41" s="74"/>
      <c r="F41" s="74"/>
      <c r="G41" s="74"/>
    </row>
    <row r="42" spans="1:27" x14ac:dyDescent="0.25">
      <c r="A42" s="98"/>
      <c r="B42" s="2" t="s">
        <v>176</v>
      </c>
      <c r="C42" s="89">
        <f t="shared" ref="C42:D42" si="4">+C13-C38</f>
        <v>25639767.089999974</v>
      </c>
      <c r="D42" s="89">
        <f t="shared" si="4"/>
        <v>-14738041</v>
      </c>
      <c r="E42" s="89">
        <f>+E13-E38</f>
        <v>21353006.490000069</v>
      </c>
      <c r="F42" s="89" t="e">
        <f>+F13-F38</f>
        <v>#REF!</v>
      </c>
      <c r="G42" s="89" t="e">
        <f>+G13-G38</f>
        <v>#REF!</v>
      </c>
    </row>
    <row r="43" spans="1:27" x14ac:dyDescent="0.25">
      <c r="A43" s="98"/>
      <c r="B43" s="2"/>
      <c r="C43" s="74"/>
      <c r="D43" s="84"/>
      <c r="E43" s="74"/>
      <c r="F43" s="85"/>
      <c r="G43" s="74"/>
    </row>
    <row r="44" spans="1:27" x14ac:dyDescent="0.25">
      <c r="A44" s="98"/>
      <c r="B44" s="2" t="s">
        <v>188</v>
      </c>
      <c r="C44" s="74"/>
      <c r="D44" s="84"/>
      <c r="E44" s="74"/>
      <c r="F44" s="85"/>
      <c r="G44" s="74"/>
    </row>
    <row r="45" spans="1:27" x14ac:dyDescent="0.25">
      <c r="A45" s="98"/>
      <c r="B45" s="85" t="s">
        <v>29</v>
      </c>
      <c r="C45" s="65">
        <f>SUM('GF Rev by Obj'!D45:D47)</f>
        <v>107216.56</v>
      </c>
      <c r="D45" s="288">
        <f>+'GF Rev by Obj'!F49</f>
        <v>493490</v>
      </c>
      <c r="E45" s="288">
        <f>+'GF Rev by Obj'!H49</f>
        <v>0</v>
      </c>
      <c r="F45" s="288">
        <f>+'GF Rev by Obj'!I49</f>
        <v>0</v>
      </c>
      <c r="G45" s="55">
        <f>+F45-D45</f>
        <v>-493490</v>
      </c>
    </row>
    <row r="46" spans="1:27" x14ac:dyDescent="0.25">
      <c r="A46" s="98"/>
      <c r="B46" s="85" t="s">
        <v>30</v>
      </c>
      <c r="C46" s="65">
        <v>-500000</v>
      </c>
      <c r="D46" s="288">
        <v>0</v>
      </c>
      <c r="E46" s="288">
        <v>1700000</v>
      </c>
      <c r="F46" s="288">
        <v>0</v>
      </c>
      <c r="G46" s="55">
        <f>+F46-D46</f>
        <v>0</v>
      </c>
    </row>
    <row r="47" spans="1:27" x14ac:dyDescent="0.25">
      <c r="A47" s="98"/>
      <c r="B47" s="16" t="s">
        <v>31</v>
      </c>
      <c r="C47" s="286">
        <f>SUM(C45:C46)</f>
        <v>-392783.44</v>
      </c>
      <c r="D47" s="286">
        <f>SUM(D45:D46)</f>
        <v>493490</v>
      </c>
      <c r="E47" s="286">
        <f>+E45-E46</f>
        <v>-1700000</v>
      </c>
      <c r="F47" s="286">
        <f>SUM(F45:F46)</f>
        <v>0</v>
      </c>
      <c r="G47" s="286">
        <f>SUM(G45:G46)</f>
        <v>-493490</v>
      </c>
    </row>
    <row r="48" spans="1:27" x14ac:dyDescent="0.25">
      <c r="A48" s="98"/>
      <c r="B48" s="85"/>
      <c r="C48" s="99"/>
      <c r="D48" s="84"/>
      <c r="E48" s="74"/>
      <c r="F48" s="74"/>
      <c r="G48" s="74"/>
    </row>
    <row r="49" spans="1:7" ht="15.75" thickBot="1" x14ac:dyDescent="0.3">
      <c r="A49" s="98"/>
      <c r="B49" s="2" t="s">
        <v>158</v>
      </c>
      <c r="C49" s="116">
        <f>+C42+C47</f>
        <v>25246983.649999972</v>
      </c>
      <c r="D49" s="116">
        <f>+D42+D47</f>
        <v>-14244551</v>
      </c>
      <c r="E49" s="116">
        <v>4000000</v>
      </c>
      <c r="F49" s="116" t="e">
        <f>+F42+F47</f>
        <v>#REF!</v>
      </c>
      <c r="G49" s="116" t="e">
        <f>+G42+G47</f>
        <v>#REF!</v>
      </c>
    </row>
    <row r="50" spans="1:7" ht="15.75" thickTop="1" x14ac:dyDescent="0.25">
      <c r="A50" s="98"/>
      <c r="B50" s="85"/>
      <c r="C50" s="99"/>
      <c r="D50" s="67"/>
      <c r="E50" s="67"/>
      <c r="F50" s="295"/>
      <c r="G50" s="67"/>
    </row>
    <row r="51" spans="1:7" x14ac:dyDescent="0.25">
      <c r="A51" s="98"/>
      <c r="B51" s="46" t="s">
        <v>34</v>
      </c>
      <c r="C51" s="65">
        <v>158671093</v>
      </c>
      <c r="D51" s="92">
        <f>C52</f>
        <v>183918076.64999998</v>
      </c>
      <c r="E51" s="67">
        <f>C52</f>
        <v>183918076.64999998</v>
      </c>
      <c r="F51" s="296">
        <f>+E52</f>
        <v>187918076.64999998</v>
      </c>
      <c r="G51" s="93"/>
    </row>
    <row r="52" spans="1:7" ht="15.75" thickBot="1" x14ac:dyDescent="0.3">
      <c r="A52" s="98"/>
      <c r="B52" s="2" t="s">
        <v>35</v>
      </c>
      <c r="C52" s="96">
        <f t="shared" ref="C52:D52" si="5">SUM(C49:C51)</f>
        <v>183918076.64999998</v>
      </c>
      <c r="D52" s="96">
        <f t="shared" si="5"/>
        <v>169673525.64999998</v>
      </c>
      <c r="E52" s="96">
        <f>SUM(E49:E51)</f>
        <v>187918076.64999998</v>
      </c>
      <c r="F52" s="297" t="e">
        <f>SUM(F49:F51)</f>
        <v>#REF!</v>
      </c>
      <c r="G52" s="100"/>
    </row>
    <row r="53" spans="1:7" ht="15.75" thickTop="1" x14ac:dyDescent="0.25">
      <c r="A53" s="98"/>
      <c r="B53" s="85"/>
      <c r="C53" s="74"/>
      <c r="D53" s="84"/>
      <c r="E53" s="74"/>
      <c r="F53" s="295"/>
      <c r="G53" s="83"/>
    </row>
    <row r="54" spans="1:7" x14ac:dyDescent="0.25">
      <c r="A54" s="299"/>
      <c r="B54" s="300"/>
      <c r="C54" s="301"/>
      <c r="D54" s="301"/>
      <c r="E54" s="301"/>
      <c r="F54" s="302"/>
      <c r="G54" s="83"/>
    </row>
    <row r="55" spans="1:7" x14ac:dyDescent="0.25">
      <c r="A55" s="299"/>
      <c r="B55" s="299"/>
      <c r="C55" s="301"/>
      <c r="D55" s="301"/>
      <c r="E55" s="301"/>
      <c r="F55" s="302"/>
      <c r="G55" s="74"/>
    </row>
    <row r="56" spans="1:7" x14ac:dyDescent="0.25">
      <c r="A56" s="299"/>
      <c r="B56" s="299"/>
      <c r="C56" s="301"/>
      <c r="D56" s="301"/>
      <c r="E56" s="301"/>
      <c r="F56" s="302"/>
      <c r="G56" s="74"/>
    </row>
    <row r="57" spans="1:7" x14ac:dyDescent="0.25">
      <c r="A57" s="299"/>
      <c r="B57" s="299"/>
      <c r="C57" s="301"/>
      <c r="D57" s="301"/>
      <c r="E57" s="301"/>
      <c r="F57" s="302"/>
      <c r="G57" s="74"/>
    </row>
    <row r="58" spans="1:7" x14ac:dyDescent="0.25">
      <c r="A58" s="299"/>
      <c r="B58" s="300"/>
      <c r="C58" s="301"/>
      <c r="D58" s="301"/>
      <c r="E58" s="301"/>
      <c r="F58" s="303"/>
      <c r="G58" s="74"/>
    </row>
    <row r="59" spans="1:7" x14ac:dyDescent="0.25">
      <c r="A59" s="299"/>
      <c r="B59" s="299"/>
      <c r="C59" s="301"/>
      <c r="D59" s="301"/>
      <c r="E59" s="301"/>
      <c r="F59" s="301"/>
      <c r="G59" s="74"/>
    </row>
    <row r="60" spans="1:7" x14ac:dyDescent="0.25">
      <c r="A60" s="299"/>
      <c r="B60" s="299"/>
      <c r="C60" s="301"/>
      <c r="D60" s="301"/>
      <c r="E60" s="301"/>
      <c r="F60" s="301"/>
      <c r="G60" s="98"/>
    </row>
    <row r="61" spans="1:7" x14ac:dyDescent="0.25">
      <c r="A61" s="98"/>
      <c r="B61" s="98"/>
      <c r="C61" s="99"/>
      <c r="D61" s="99"/>
      <c r="E61" s="99"/>
      <c r="F61" s="99"/>
      <c r="G61" s="98"/>
    </row>
    <row r="62" spans="1:7" x14ac:dyDescent="0.25">
      <c r="A62" s="98"/>
      <c r="B62" s="98"/>
      <c r="C62" s="99"/>
      <c r="D62" s="99"/>
      <c r="E62" s="99"/>
      <c r="F62" s="99"/>
      <c r="G62" s="98"/>
    </row>
    <row r="63" spans="1:7" x14ac:dyDescent="0.25">
      <c r="A63" s="98"/>
      <c r="B63" s="98"/>
      <c r="C63" s="99"/>
      <c r="D63" s="99"/>
      <c r="E63" s="99"/>
      <c r="F63" s="102"/>
      <c r="G63" s="98"/>
    </row>
    <row r="64" spans="1:7" x14ac:dyDescent="0.25">
      <c r="A64" s="98"/>
      <c r="B64" s="98"/>
      <c r="C64" s="99"/>
      <c r="D64" s="99"/>
      <c r="E64" s="99"/>
      <c r="F64" s="99"/>
      <c r="G64" s="98"/>
    </row>
    <row r="65" spans="1:7" x14ac:dyDescent="0.25">
      <c r="A65" s="98"/>
      <c r="B65" s="98"/>
      <c r="C65" s="99"/>
      <c r="D65" s="99"/>
      <c r="E65" s="99"/>
      <c r="F65" s="99"/>
      <c r="G65" s="98"/>
    </row>
    <row r="66" spans="1:7" x14ac:dyDescent="0.25">
      <c r="A66" s="98"/>
      <c r="B66" s="98"/>
      <c r="C66" s="99"/>
      <c r="D66" s="99"/>
      <c r="E66" s="99"/>
      <c r="F66" s="99"/>
      <c r="G66" s="98"/>
    </row>
  </sheetData>
  <mergeCells count="3">
    <mergeCell ref="B1:G1"/>
    <mergeCell ref="B2:G2"/>
    <mergeCell ref="S39:U39"/>
  </mergeCells>
  <pageMargins left="0.7" right="0.7" top="0.75" bottom="0.75" header="0.3" footer="0.3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121"/>
  <sheetViews>
    <sheetView topLeftCell="A13" zoomScaleNormal="100" workbookViewId="0">
      <selection activeCell="J7" sqref="J7"/>
    </sheetView>
  </sheetViews>
  <sheetFormatPr defaultColWidth="9.140625" defaultRowHeight="12" x14ac:dyDescent="0.2"/>
  <cols>
    <col min="1" max="1" width="5.85546875" style="337" bestFit="1" customWidth="1"/>
    <col min="2" max="2" width="6" style="31" customWidth="1"/>
    <col min="3" max="3" width="35" style="31" customWidth="1"/>
    <col min="4" max="4" width="13.42578125" style="35" bestFit="1" customWidth="1"/>
    <col min="5" max="5" width="11.85546875" style="44" hidden="1" customWidth="1"/>
    <col min="6" max="6" width="13.42578125" style="35" customWidth="1"/>
    <col min="7" max="7" width="15.28515625" style="44" hidden="1" customWidth="1"/>
    <col min="8" max="8" width="13.7109375" style="35" hidden="1" customWidth="1"/>
    <col min="9" max="9" width="14.5703125" style="35" customWidth="1"/>
    <col min="10" max="10" width="16.42578125" style="32" customWidth="1"/>
    <col min="11" max="11" width="1.5703125" style="31" customWidth="1"/>
    <col min="12" max="12" width="0" style="31" hidden="1" customWidth="1"/>
    <col min="13" max="13" width="12.5703125" style="32" hidden="1" customWidth="1"/>
    <col min="14" max="14" width="9.140625" style="31"/>
    <col min="15" max="15" width="12.85546875" style="49" bestFit="1" customWidth="1"/>
    <col min="16" max="16" width="9.140625" style="31"/>
    <col min="17" max="17" width="10.42578125" style="31" bestFit="1" customWidth="1"/>
    <col min="18" max="16384" width="9.140625" style="31"/>
  </cols>
  <sheetData>
    <row r="1" spans="1:25" ht="12.7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M1" s="31"/>
    </row>
    <row r="2" spans="1:25" ht="12.75" x14ac:dyDescent="0.2">
      <c r="B2" s="366" t="s">
        <v>46</v>
      </c>
      <c r="C2" s="366"/>
      <c r="D2" s="366"/>
      <c r="E2" s="366"/>
      <c r="F2" s="366"/>
      <c r="G2" s="366"/>
      <c r="H2" s="366"/>
      <c r="I2" s="366"/>
      <c r="J2" s="366"/>
      <c r="M2" s="31"/>
      <c r="O2" s="35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ht="12.75" x14ac:dyDescent="0.2">
      <c r="B3" s="98"/>
      <c r="C3" s="98"/>
      <c r="D3" s="65"/>
      <c r="E3" s="152"/>
      <c r="F3" s="65"/>
      <c r="G3" s="152"/>
      <c r="H3" s="65"/>
      <c r="I3" s="65"/>
      <c r="J3" s="161"/>
      <c r="O3" s="35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spans="1:25" ht="12.75" x14ac:dyDescent="0.2">
      <c r="B4" s="98"/>
      <c r="C4" s="98"/>
      <c r="D4" s="153"/>
      <c r="E4" s="154"/>
      <c r="F4" s="155"/>
      <c r="G4" s="156"/>
      <c r="H4" s="155"/>
      <c r="I4" s="155"/>
      <c r="J4" s="365" t="s">
        <v>248</v>
      </c>
      <c r="M4" s="33"/>
      <c r="O4" s="35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2.75" x14ac:dyDescent="0.2">
      <c r="B5" s="98"/>
      <c r="C5" s="98"/>
      <c r="D5" s="155"/>
      <c r="E5" s="155"/>
      <c r="F5" s="155"/>
      <c r="G5" s="157"/>
      <c r="H5" s="155"/>
      <c r="I5" s="155"/>
      <c r="J5" s="365"/>
      <c r="M5" s="33"/>
      <c r="O5" s="35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51" customHeight="1" x14ac:dyDescent="0.35">
      <c r="B6" s="98"/>
      <c r="C6" s="98"/>
      <c r="D6" s="158" t="s">
        <v>222</v>
      </c>
      <c r="E6" s="159" t="s">
        <v>151</v>
      </c>
      <c r="F6" s="158" t="s">
        <v>223</v>
      </c>
      <c r="G6" s="156"/>
      <c r="H6" s="158" t="s">
        <v>166</v>
      </c>
      <c r="I6" s="158" t="s">
        <v>247</v>
      </c>
      <c r="J6" s="365"/>
      <c r="M6" s="42" t="s">
        <v>149</v>
      </c>
      <c r="O6" s="72"/>
      <c r="P6" s="73"/>
      <c r="Q6" s="73"/>
      <c r="R6" s="71"/>
      <c r="S6" s="71"/>
      <c r="T6" s="71"/>
      <c r="U6" s="71"/>
      <c r="V6" s="71"/>
      <c r="W6" s="71"/>
      <c r="X6" s="71"/>
      <c r="Y6" s="71"/>
    </row>
    <row r="7" spans="1:25" ht="12.75" x14ac:dyDescent="0.2">
      <c r="A7" s="337" t="s">
        <v>238</v>
      </c>
      <c r="B7" s="160" t="s">
        <v>116</v>
      </c>
      <c r="C7" s="98"/>
      <c r="D7" s="65"/>
      <c r="E7" s="152"/>
      <c r="F7" s="65"/>
      <c r="G7" s="152"/>
      <c r="H7" s="65"/>
      <c r="I7" s="65"/>
      <c r="J7" s="161"/>
      <c r="O7" s="35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spans="1:25" ht="12.75" x14ac:dyDescent="0.2">
      <c r="A8" s="337">
        <v>1</v>
      </c>
      <c r="B8" s="98">
        <v>5711</v>
      </c>
      <c r="C8" s="98" t="s">
        <v>134</v>
      </c>
      <c r="D8" s="162">
        <v>401235358.44999999</v>
      </c>
      <c r="E8" s="163">
        <v>237864270</v>
      </c>
      <c r="F8" s="162">
        <v>408245478</v>
      </c>
      <c r="G8" s="163">
        <v>235125038.58000001</v>
      </c>
      <c r="H8" s="162">
        <v>336339585.80000001</v>
      </c>
      <c r="I8" s="162">
        <f>419359856+14506510</f>
        <v>433866366</v>
      </c>
      <c r="J8" s="164">
        <f>+I8-F8</f>
        <v>25620888</v>
      </c>
      <c r="M8" s="34">
        <v>231921364</v>
      </c>
      <c r="O8" s="35"/>
      <c r="P8" s="35"/>
      <c r="Q8" s="71"/>
      <c r="R8" s="71"/>
      <c r="S8" s="71"/>
      <c r="T8" s="71"/>
      <c r="U8" s="71"/>
      <c r="V8" s="71"/>
      <c r="W8" s="71"/>
      <c r="X8" s="71"/>
      <c r="Y8" s="71"/>
    </row>
    <row r="9" spans="1:25" ht="12.75" x14ac:dyDescent="0.2">
      <c r="A9" s="337">
        <v>2</v>
      </c>
      <c r="B9" s="98">
        <v>5712</v>
      </c>
      <c r="C9" s="98" t="s">
        <v>135</v>
      </c>
      <c r="D9" s="356">
        <v>805913.16</v>
      </c>
      <c r="E9" s="152">
        <v>1000000</v>
      </c>
      <c r="F9" s="356">
        <v>2500000</v>
      </c>
      <c r="G9" s="152">
        <v>988993.15</v>
      </c>
      <c r="H9" s="65">
        <v>2266097.6800000002</v>
      </c>
      <c r="I9" s="65">
        <v>2500000</v>
      </c>
      <c r="J9" s="161">
        <f>+I9-F9</f>
        <v>0</v>
      </c>
      <c r="M9" s="32">
        <v>1000000</v>
      </c>
      <c r="O9" s="35"/>
      <c r="P9" s="35"/>
      <c r="Q9" s="71"/>
      <c r="R9" s="71"/>
      <c r="S9" s="71"/>
      <c r="T9" s="71"/>
      <c r="U9" s="71"/>
      <c r="V9" s="71"/>
      <c r="W9" s="71"/>
      <c r="X9" s="71"/>
      <c r="Y9" s="71"/>
    </row>
    <row r="10" spans="1:25" ht="12.75" x14ac:dyDescent="0.2">
      <c r="A10" s="337">
        <v>3</v>
      </c>
      <c r="B10" s="98">
        <v>5719</v>
      </c>
      <c r="C10" s="98" t="s">
        <v>129</v>
      </c>
      <c r="D10" s="356">
        <v>1502786.68</v>
      </c>
      <c r="E10" s="152">
        <v>1300000</v>
      </c>
      <c r="F10" s="356">
        <v>2000000</v>
      </c>
      <c r="G10" s="152">
        <v>1358398.11</v>
      </c>
      <c r="H10" s="65">
        <v>1500573.93</v>
      </c>
      <c r="I10" s="65">
        <v>2000000</v>
      </c>
      <c r="J10" s="161">
        <f t="shared" ref="J10:J22" si="0">+I10-F10</f>
        <v>0</v>
      </c>
      <c r="K10" s="59"/>
      <c r="M10" s="32">
        <v>1300000</v>
      </c>
      <c r="O10" s="35"/>
      <c r="P10" s="35"/>
      <c r="Q10" s="71"/>
      <c r="R10" s="71"/>
      <c r="S10" s="71"/>
      <c r="T10" s="71"/>
      <c r="U10" s="71"/>
      <c r="V10" s="71"/>
      <c r="W10" s="71"/>
      <c r="X10" s="71"/>
      <c r="Y10" s="71"/>
    </row>
    <row r="11" spans="1:25" ht="12.75" x14ac:dyDescent="0.2">
      <c r="A11" s="337">
        <v>4</v>
      </c>
      <c r="B11" s="98">
        <v>5739</v>
      </c>
      <c r="C11" s="98" t="s">
        <v>136</v>
      </c>
      <c r="D11" s="356">
        <v>7069983.4800000004</v>
      </c>
      <c r="E11" s="152">
        <v>4159645</v>
      </c>
      <c r="F11" s="356">
        <v>7188315</v>
      </c>
      <c r="G11" s="152">
        <v>5579887.5099999998</v>
      </c>
      <c r="H11" s="65">
        <v>5972063.79</v>
      </c>
      <c r="I11" s="65">
        <v>7475455</v>
      </c>
      <c r="J11" s="161">
        <f t="shared" si="0"/>
        <v>287140</v>
      </c>
      <c r="K11" s="59"/>
      <c r="M11" s="32">
        <v>4185645</v>
      </c>
      <c r="O11" s="307"/>
      <c r="P11" s="307"/>
      <c r="Q11" s="308"/>
      <c r="R11" s="308"/>
      <c r="S11" s="71"/>
      <c r="T11" s="71"/>
      <c r="U11" s="71"/>
      <c r="V11" s="71"/>
      <c r="W11" s="71"/>
      <c r="X11" s="71"/>
      <c r="Y11" s="71"/>
    </row>
    <row r="12" spans="1:25" ht="12.75" x14ac:dyDescent="0.2">
      <c r="A12" s="337">
        <v>5</v>
      </c>
      <c r="B12" s="98">
        <v>5742</v>
      </c>
      <c r="C12" s="98" t="s">
        <v>130</v>
      </c>
      <c r="D12" s="356">
        <v>6726901.9100000001</v>
      </c>
      <c r="E12" s="152">
        <v>250000</v>
      </c>
      <c r="F12" s="356">
        <v>5000000</v>
      </c>
      <c r="G12" s="152">
        <v>331961.7</v>
      </c>
      <c r="H12" s="65">
        <v>1268441.72</v>
      </c>
      <c r="I12" s="65">
        <f>3966458+558490</f>
        <v>4524948</v>
      </c>
      <c r="J12" s="161">
        <f t="shared" si="0"/>
        <v>-475052</v>
      </c>
      <c r="K12" s="59"/>
      <c r="M12" s="32">
        <v>250000</v>
      </c>
      <c r="O12" s="35"/>
      <c r="P12" s="35"/>
      <c r="Q12" s="71"/>
      <c r="R12" s="71"/>
      <c r="S12" s="71"/>
      <c r="T12" s="71"/>
      <c r="U12" s="71"/>
      <c r="V12" s="71"/>
      <c r="W12" s="71"/>
      <c r="X12" s="71"/>
      <c r="Y12" s="71"/>
    </row>
    <row r="13" spans="1:25" ht="12.75" x14ac:dyDescent="0.2">
      <c r="A13" s="337">
        <v>6</v>
      </c>
      <c r="B13" s="98">
        <v>5743</v>
      </c>
      <c r="C13" s="98" t="s">
        <v>137</v>
      </c>
      <c r="D13" s="356">
        <v>1367188.47</v>
      </c>
      <c r="E13" s="152">
        <v>349384</v>
      </c>
      <c r="F13" s="356">
        <v>1000000</v>
      </c>
      <c r="G13" s="152">
        <v>298373.25</v>
      </c>
      <c r="H13" s="65">
        <v>845691.95</v>
      </c>
      <c r="I13" s="65">
        <v>1243100</v>
      </c>
      <c r="J13" s="161">
        <f t="shared" si="0"/>
        <v>243100</v>
      </c>
      <c r="K13" s="59"/>
      <c r="M13" s="32">
        <v>349384</v>
      </c>
      <c r="O13" s="35"/>
      <c r="P13" s="35"/>
      <c r="Q13" s="71"/>
      <c r="R13" s="71"/>
      <c r="S13" s="71"/>
      <c r="T13" s="71"/>
      <c r="U13" s="71"/>
      <c r="V13" s="71"/>
      <c r="W13" s="71"/>
      <c r="X13" s="71"/>
      <c r="Y13" s="71"/>
    </row>
    <row r="14" spans="1:25" ht="12.75" x14ac:dyDescent="0.2">
      <c r="A14" s="337">
        <v>7</v>
      </c>
      <c r="B14" s="98">
        <v>5744</v>
      </c>
      <c r="C14" s="98" t="s">
        <v>138</v>
      </c>
      <c r="D14" s="356">
        <v>20</v>
      </c>
      <c r="E14" s="152">
        <v>0</v>
      </c>
      <c r="F14" s="356">
        <v>0</v>
      </c>
      <c r="G14" s="152">
        <v>122590.31</v>
      </c>
      <c r="H14" s="65">
        <v>1175.8399999999999</v>
      </c>
      <c r="I14" s="65">
        <v>0</v>
      </c>
      <c r="J14" s="161">
        <f t="shared" si="0"/>
        <v>0</v>
      </c>
      <c r="K14" s="59"/>
      <c r="M14" s="32">
        <v>0</v>
      </c>
      <c r="O14" s="35"/>
      <c r="P14" s="35"/>
      <c r="Q14" s="71"/>
      <c r="R14" s="71"/>
      <c r="S14" s="71"/>
      <c r="T14" s="71"/>
      <c r="U14" s="71"/>
      <c r="V14" s="71"/>
      <c r="W14" s="71"/>
      <c r="X14" s="71"/>
      <c r="Y14" s="71"/>
    </row>
    <row r="15" spans="1:25" ht="12.75" x14ac:dyDescent="0.2">
      <c r="A15" s="337">
        <v>8</v>
      </c>
      <c r="B15" s="98">
        <v>5745</v>
      </c>
      <c r="C15" s="98" t="s">
        <v>139</v>
      </c>
      <c r="D15" s="356">
        <v>11415.2</v>
      </c>
      <c r="E15" s="152">
        <v>0</v>
      </c>
      <c r="F15" s="356">
        <v>0</v>
      </c>
      <c r="G15" s="152">
        <v>254678.69</v>
      </c>
      <c r="H15" s="65">
        <v>1237.8699999999999</v>
      </c>
      <c r="I15" s="65">
        <v>0</v>
      </c>
      <c r="J15" s="161">
        <f t="shared" si="0"/>
        <v>0</v>
      </c>
      <c r="K15" s="59"/>
      <c r="M15" s="32">
        <v>0</v>
      </c>
      <c r="P15" s="49"/>
    </row>
    <row r="16" spans="1:25" ht="12.75" x14ac:dyDescent="0.2">
      <c r="A16" s="337">
        <v>9</v>
      </c>
      <c r="B16" s="98">
        <v>5749</v>
      </c>
      <c r="C16" s="98" t="s">
        <v>196</v>
      </c>
      <c r="D16" s="356">
        <f>1058893.04-317.1</f>
        <v>1058575.94</v>
      </c>
      <c r="E16" s="152">
        <v>477258</v>
      </c>
      <c r="F16" s="356">
        <v>1000000</v>
      </c>
      <c r="G16" s="152">
        <v>409542.72</v>
      </c>
      <c r="H16" s="65">
        <v>1154549.1100000001</v>
      </c>
      <c r="I16" s="65">
        <v>1047500</v>
      </c>
      <c r="J16" s="161">
        <f t="shared" si="0"/>
        <v>47500</v>
      </c>
      <c r="K16" s="59"/>
      <c r="M16" s="32">
        <v>477258</v>
      </c>
      <c r="P16" s="49"/>
    </row>
    <row r="17" spans="1:19" ht="12.75" x14ac:dyDescent="0.2">
      <c r="A17" s="337">
        <v>10</v>
      </c>
      <c r="B17" s="98">
        <v>5751</v>
      </c>
      <c r="C17" s="98" t="s">
        <v>110</v>
      </c>
      <c r="D17" s="356">
        <v>0</v>
      </c>
      <c r="E17" s="152"/>
      <c r="F17" s="356">
        <v>0</v>
      </c>
      <c r="G17" s="152"/>
      <c r="H17" s="65">
        <v>0</v>
      </c>
      <c r="I17" s="65">
        <v>0</v>
      </c>
      <c r="J17" s="161">
        <f t="shared" si="0"/>
        <v>0</v>
      </c>
      <c r="K17" s="59"/>
      <c r="M17" s="49"/>
      <c r="P17" s="49"/>
    </row>
    <row r="18" spans="1:19" ht="12.75" x14ac:dyDescent="0.2">
      <c r="A18" s="337">
        <v>11</v>
      </c>
      <c r="B18" s="98">
        <v>5752</v>
      </c>
      <c r="C18" s="98" t="s">
        <v>140</v>
      </c>
      <c r="D18" s="356">
        <v>807494.7</v>
      </c>
      <c r="E18" s="152">
        <v>664500</v>
      </c>
      <c r="F18" s="356">
        <v>925000</v>
      </c>
      <c r="G18" s="152">
        <v>835287.95</v>
      </c>
      <c r="H18" s="65">
        <v>828575.93</v>
      </c>
      <c r="I18" s="65">
        <v>926500</v>
      </c>
      <c r="J18" s="161">
        <f t="shared" si="0"/>
        <v>1500</v>
      </c>
      <c r="K18" s="59"/>
      <c r="M18" s="32">
        <v>664500</v>
      </c>
      <c r="O18" s="309"/>
      <c r="P18" s="309"/>
      <c r="Q18" s="310"/>
      <c r="R18" s="310"/>
      <c r="S18" s="310"/>
    </row>
    <row r="19" spans="1:19" ht="12.75" x14ac:dyDescent="0.2">
      <c r="A19" s="337">
        <v>12</v>
      </c>
      <c r="B19" s="98">
        <v>5753</v>
      </c>
      <c r="C19" s="98" t="s">
        <v>197</v>
      </c>
      <c r="D19" s="356">
        <v>150323.1</v>
      </c>
      <c r="E19" s="152">
        <v>136700</v>
      </c>
      <c r="F19" s="356">
        <v>136000</v>
      </c>
      <c r="G19" s="152">
        <v>108035</v>
      </c>
      <c r="H19" s="65">
        <v>123945</v>
      </c>
      <c r="I19" s="65">
        <v>151100</v>
      </c>
      <c r="J19" s="161">
        <f t="shared" si="0"/>
        <v>15100</v>
      </c>
      <c r="K19" s="59"/>
      <c r="M19" s="32">
        <v>136700</v>
      </c>
      <c r="P19" s="49"/>
    </row>
    <row r="20" spans="1:19" ht="12.75" x14ac:dyDescent="0.2">
      <c r="A20" s="337">
        <v>13</v>
      </c>
      <c r="B20" s="98">
        <v>5755</v>
      </c>
      <c r="C20" s="98" t="s">
        <v>141</v>
      </c>
      <c r="D20" s="356">
        <v>0</v>
      </c>
      <c r="E20" s="152">
        <v>0</v>
      </c>
      <c r="F20" s="356">
        <v>0</v>
      </c>
      <c r="G20" s="152">
        <v>384</v>
      </c>
      <c r="H20" s="65">
        <v>0</v>
      </c>
      <c r="I20" s="65">
        <v>0</v>
      </c>
      <c r="J20" s="161">
        <f t="shared" si="0"/>
        <v>0</v>
      </c>
      <c r="K20" s="59"/>
      <c r="M20" s="32">
        <v>0</v>
      </c>
      <c r="P20" s="49"/>
    </row>
    <row r="21" spans="1:19" ht="12.75" x14ac:dyDescent="0.2">
      <c r="A21" s="337">
        <v>14</v>
      </c>
      <c r="B21" s="98">
        <v>5759</v>
      </c>
      <c r="C21" s="98" t="s">
        <v>142</v>
      </c>
      <c r="D21" s="356">
        <v>5480</v>
      </c>
      <c r="E21" s="152">
        <v>0</v>
      </c>
      <c r="F21" s="356">
        <v>0</v>
      </c>
      <c r="G21" s="152">
        <v>16117.8</v>
      </c>
      <c r="H21" s="65">
        <v>0</v>
      </c>
      <c r="I21" s="65">
        <v>0</v>
      </c>
      <c r="J21" s="161">
        <f t="shared" si="0"/>
        <v>0</v>
      </c>
      <c r="K21" s="59"/>
      <c r="M21" s="32">
        <v>0</v>
      </c>
      <c r="P21" s="49"/>
    </row>
    <row r="22" spans="1:19" ht="12.75" x14ac:dyDescent="0.2">
      <c r="A22" s="337">
        <v>15</v>
      </c>
      <c r="B22" s="98">
        <v>5769</v>
      </c>
      <c r="C22" s="98" t="s">
        <v>198</v>
      </c>
      <c r="D22" s="356">
        <v>554868.39</v>
      </c>
      <c r="E22" s="152">
        <v>394628</v>
      </c>
      <c r="F22" s="356">
        <v>375000</v>
      </c>
      <c r="G22" s="152">
        <v>424449.18</v>
      </c>
      <c r="H22" s="65">
        <v>492451.43</v>
      </c>
      <c r="I22" s="65">
        <v>550000</v>
      </c>
      <c r="J22" s="161">
        <f t="shared" si="0"/>
        <v>175000</v>
      </c>
      <c r="K22" s="59"/>
      <c r="M22" s="35">
        <v>394628</v>
      </c>
      <c r="P22" s="49"/>
    </row>
    <row r="23" spans="1:19" ht="12.75" x14ac:dyDescent="0.2">
      <c r="B23" s="98"/>
      <c r="C23" s="98"/>
      <c r="D23" s="356"/>
      <c r="E23" s="65"/>
      <c r="F23" s="356"/>
      <c r="G23" s="65"/>
      <c r="H23" s="65"/>
      <c r="I23" s="65"/>
      <c r="J23" s="161"/>
      <c r="K23" s="59"/>
      <c r="M23" s="35"/>
    </row>
    <row r="24" spans="1:19" ht="12.75" x14ac:dyDescent="0.2">
      <c r="A24" s="337">
        <v>16</v>
      </c>
      <c r="B24" s="98"/>
      <c r="C24" s="160" t="s">
        <v>114</v>
      </c>
      <c r="D24" s="357">
        <f>SUM(D8:D23)</f>
        <v>421296309.48000008</v>
      </c>
      <c r="E24" s="165">
        <f t="shared" ref="E24:J24" si="1">SUM(E8:E23)</f>
        <v>246596385</v>
      </c>
      <c r="F24" s="357">
        <f t="shared" ref="F24" si="2">SUM(F8:F23)</f>
        <v>428369793</v>
      </c>
      <c r="G24" s="165">
        <f t="shared" si="1"/>
        <v>245853737.95000002</v>
      </c>
      <c r="H24" s="165">
        <f t="shared" si="1"/>
        <v>350794390.05000007</v>
      </c>
      <c r="I24" s="165">
        <f t="shared" si="1"/>
        <v>454284969</v>
      </c>
      <c r="J24" s="166">
        <f t="shared" si="1"/>
        <v>25915176</v>
      </c>
      <c r="K24" s="59"/>
      <c r="M24" s="36">
        <f>SUM(M8:M23)</f>
        <v>240679479</v>
      </c>
      <c r="Q24" s="339"/>
    </row>
    <row r="25" spans="1:19" s="169" customFormat="1" ht="12.75" x14ac:dyDescent="0.2">
      <c r="A25" s="337"/>
      <c r="B25" s="98"/>
      <c r="C25" s="98"/>
      <c r="D25" s="356"/>
      <c r="E25" s="65"/>
      <c r="F25" s="356"/>
      <c r="G25" s="65"/>
      <c r="H25" s="65"/>
      <c r="I25" s="65"/>
      <c r="J25" s="161"/>
      <c r="K25" s="168"/>
      <c r="M25" s="170"/>
      <c r="O25" s="171"/>
    </row>
    <row r="26" spans="1:19" ht="12.75" x14ac:dyDescent="0.2">
      <c r="B26" s="160" t="s">
        <v>117</v>
      </c>
      <c r="C26" s="98"/>
      <c r="D26" s="356"/>
      <c r="E26" s="152"/>
      <c r="F26" s="356"/>
      <c r="G26" s="152"/>
      <c r="H26" s="65"/>
      <c r="I26" s="65"/>
      <c r="J26" s="161"/>
      <c r="K26" s="59"/>
      <c r="M26" s="35"/>
    </row>
    <row r="27" spans="1:19" ht="12.75" x14ac:dyDescent="0.2">
      <c r="A27" s="337">
        <v>17</v>
      </c>
      <c r="B27" s="98">
        <v>5811</v>
      </c>
      <c r="C27" s="98" t="s">
        <v>147</v>
      </c>
      <c r="D27" s="356">
        <v>23936137</v>
      </c>
      <c r="E27" s="152">
        <v>11973552</v>
      </c>
      <c r="F27" s="356">
        <v>12114460</v>
      </c>
      <c r="G27" s="152">
        <v>12633210</v>
      </c>
      <c r="H27" s="65">
        <v>14325430</v>
      </c>
      <c r="I27" s="65">
        <v>19529414</v>
      </c>
      <c r="J27" s="161">
        <f>+I27-F27</f>
        <v>7414954</v>
      </c>
      <c r="K27" s="59"/>
      <c r="M27" s="32">
        <v>12818949</v>
      </c>
    </row>
    <row r="28" spans="1:19" ht="12.75" x14ac:dyDescent="0.2">
      <c r="A28" s="337">
        <v>18</v>
      </c>
      <c r="B28" s="98">
        <v>5812</v>
      </c>
      <c r="C28" s="98" t="s">
        <v>199</v>
      </c>
      <c r="D28" s="356">
        <v>20527384</v>
      </c>
      <c r="E28" s="152">
        <v>95040597</v>
      </c>
      <c r="F28" s="356">
        <v>17625800</v>
      </c>
      <c r="G28" s="152">
        <v>65875880.670000002</v>
      </c>
      <c r="H28" s="65">
        <v>38016800</v>
      </c>
      <c r="I28" s="65">
        <v>18867987</v>
      </c>
      <c r="J28" s="161">
        <f t="shared" ref="J28:J31" si="3">+I28-F28</f>
        <v>1242187</v>
      </c>
      <c r="K28" s="59"/>
      <c r="M28" s="32">
        <v>90909379</v>
      </c>
    </row>
    <row r="29" spans="1:19" ht="12.75" x14ac:dyDescent="0.2">
      <c r="A29" s="337">
        <v>19</v>
      </c>
      <c r="B29" s="98">
        <v>5819</v>
      </c>
      <c r="C29" s="98" t="s">
        <v>148</v>
      </c>
      <c r="D29" s="356">
        <v>866008.09</v>
      </c>
      <c r="E29" s="152">
        <v>0</v>
      </c>
      <c r="F29" s="356">
        <v>0</v>
      </c>
      <c r="G29" s="152">
        <v>414.96</v>
      </c>
      <c r="H29" s="65"/>
      <c r="I29" s="65">
        <v>0</v>
      </c>
      <c r="J29" s="161">
        <f t="shared" si="3"/>
        <v>0</v>
      </c>
      <c r="K29" s="59"/>
      <c r="M29" s="32">
        <v>0</v>
      </c>
    </row>
    <row r="30" spans="1:19" ht="12.75" x14ac:dyDescent="0.2">
      <c r="A30" s="337">
        <v>20</v>
      </c>
      <c r="B30" s="98">
        <v>5829</v>
      </c>
      <c r="C30" s="98" t="s">
        <v>200</v>
      </c>
      <c r="D30" s="356">
        <v>0</v>
      </c>
      <c r="E30" s="152">
        <v>0</v>
      </c>
      <c r="F30" s="356">
        <v>0</v>
      </c>
      <c r="G30" s="152">
        <v>59394.02</v>
      </c>
      <c r="H30" s="65">
        <v>115700.25</v>
      </c>
      <c r="I30" s="65">
        <v>0</v>
      </c>
      <c r="J30" s="161">
        <f t="shared" si="3"/>
        <v>0</v>
      </c>
      <c r="K30" s="59"/>
      <c r="M30" s="32">
        <v>0</v>
      </c>
    </row>
    <row r="31" spans="1:19" ht="12.75" x14ac:dyDescent="0.2">
      <c r="A31" s="337">
        <v>21</v>
      </c>
      <c r="B31" s="98">
        <v>5831</v>
      </c>
      <c r="C31" s="98" t="s">
        <v>113</v>
      </c>
      <c r="D31" s="356">
        <v>21990364.489999998</v>
      </c>
      <c r="E31" s="152">
        <v>19000007</v>
      </c>
      <c r="F31" s="356">
        <v>24686388</v>
      </c>
      <c r="G31" s="152">
        <v>15301468.369999999</v>
      </c>
      <c r="H31" s="65">
        <v>16182320.33</v>
      </c>
      <c r="I31" s="65">
        <v>28000088</v>
      </c>
      <c r="J31" s="161">
        <f t="shared" si="3"/>
        <v>3313700</v>
      </c>
      <c r="K31" s="59"/>
      <c r="M31" s="32">
        <v>19000007</v>
      </c>
    </row>
    <row r="32" spans="1:19" ht="12.75" x14ac:dyDescent="0.2">
      <c r="B32" s="98"/>
      <c r="C32" s="98"/>
      <c r="D32" s="356"/>
      <c r="E32" s="152"/>
      <c r="F32" s="356"/>
      <c r="G32" s="152"/>
      <c r="H32" s="65"/>
      <c r="I32" s="65"/>
      <c r="J32" s="161"/>
      <c r="K32" s="59"/>
    </row>
    <row r="33" spans="1:18" ht="12.75" x14ac:dyDescent="0.2">
      <c r="A33" s="337">
        <v>22</v>
      </c>
      <c r="B33" s="98"/>
      <c r="C33" s="160" t="s">
        <v>115</v>
      </c>
      <c r="D33" s="165">
        <f>SUM(D27:D32)</f>
        <v>67319893.579999998</v>
      </c>
      <c r="E33" s="165">
        <f t="shared" ref="E33:J33" si="4">SUM(E27:E32)</f>
        <v>126014156</v>
      </c>
      <c r="F33" s="357">
        <f t="shared" ref="F33" si="5">SUM(F27:F32)</f>
        <v>54426648</v>
      </c>
      <c r="G33" s="165">
        <f t="shared" si="4"/>
        <v>93870368.019999996</v>
      </c>
      <c r="H33" s="165">
        <f t="shared" si="4"/>
        <v>68640250.579999998</v>
      </c>
      <c r="I33" s="165">
        <f t="shared" si="4"/>
        <v>66397489</v>
      </c>
      <c r="J33" s="166">
        <f t="shared" si="4"/>
        <v>11970841</v>
      </c>
      <c r="K33" s="59"/>
      <c r="M33" s="36">
        <f>SUM(M27:M32)</f>
        <v>122728335</v>
      </c>
    </row>
    <row r="34" spans="1:18" ht="12.75" x14ac:dyDescent="0.2">
      <c r="B34" s="98"/>
      <c r="C34" s="98"/>
      <c r="D34" s="356"/>
      <c r="E34" s="65"/>
      <c r="F34" s="356"/>
      <c r="G34" s="65"/>
      <c r="H34" s="65"/>
      <c r="I34" s="65"/>
      <c r="J34" s="161"/>
      <c r="K34" s="59"/>
    </row>
    <row r="35" spans="1:18" ht="12.75" x14ac:dyDescent="0.2">
      <c r="B35" s="160" t="s">
        <v>152</v>
      </c>
      <c r="C35" s="98"/>
      <c r="D35" s="356"/>
      <c r="E35" s="152"/>
      <c r="F35" s="356"/>
      <c r="G35" s="152"/>
      <c r="H35" s="65"/>
      <c r="I35" s="65"/>
      <c r="J35" s="161"/>
      <c r="K35" s="59"/>
    </row>
    <row r="36" spans="1:18" ht="12.75" x14ac:dyDescent="0.2">
      <c r="A36" s="337">
        <v>23</v>
      </c>
      <c r="B36" s="98">
        <v>5929</v>
      </c>
      <c r="C36" s="98" t="s">
        <v>201</v>
      </c>
      <c r="D36" s="356">
        <v>280481.53999999998</v>
      </c>
      <c r="E36" s="152">
        <v>140700</v>
      </c>
      <c r="F36" s="356">
        <v>224000</v>
      </c>
      <c r="G36" s="152">
        <v>242506.84</v>
      </c>
      <c r="H36" s="65">
        <v>198353.56</v>
      </c>
      <c r="I36" s="65">
        <v>431500</v>
      </c>
      <c r="J36" s="161">
        <f>+I36-F36</f>
        <v>207500</v>
      </c>
      <c r="K36" s="59"/>
      <c r="M36" s="32">
        <v>140700</v>
      </c>
    </row>
    <row r="37" spans="1:18" ht="12.75" x14ac:dyDescent="0.2">
      <c r="A37" s="337">
        <v>24</v>
      </c>
      <c r="B37" s="98">
        <v>5931</v>
      </c>
      <c r="C37" s="98" t="s">
        <v>146</v>
      </c>
      <c r="D37" s="356">
        <v>5867726.4900000002</v>
      </c>
      <c r="E37" s="152">
        <v>100000</v>
      </c>
      <c r="F37" s="356">
        <v>3200000</v>
      </c>
      <c r="G37" s="152">
        <v>685352.25</v>
      </c>
      <c r="H37" s="65">
        <v>3203795.09</v>
      </c>
      <c r="I37" s="65">
        <v>5761216</v>
      </c>
      <c r="J37" s="161">
        <f t="shared" ref="J37:J40" si="6">+I37-F37</f>
        <v>2561216</v>
      </c>
      <c r="K37" s="59"/>
      <c r="M37" s="32">
        <v>100000</v>
      </c>
    </row>
    <row r="38" spans="1:18" ht="12.75" hidden="1" x14ac:dyDescent="0.2">
      <c r="B38" s="98">
        <v>5939</v>
      </c>
      <c r="C38" s="98" t="s">
        <v>145</v>
      </c>
      <c r="D38" s="356"/>
      <c r="E38" s="152">
        <v>0</v>
      </c>
      <c r="F38" s="356">
        <v>0</v>
      </c>
      <c r="G38" s="152">
        <v>620.91999999999996</v>
      </c>
      <c r="H38" s="65">
        <v>0</v>
      </c>
      <c r="I38" s="65"/>
      <c r="J38" s="161">
        <f t="shared" si="6"/>
        <v>0</v>
      </c>
      <c r="K38" s="59"/>
      <c r="M38" s="32">
        <v>0</v>
      </c>
    </row>
    <row r="39" spans="1:18" ht="12.75" x14ac:dyDescent="0.2">
      <c r="A39" s="337">
        <v>25</v>
      </c>
      <c r="B39" s="98">
        <v>5941</v>
      </c>
      <c r="C39" s="98" t="s">
        <v>144</v>
      </c>
      <c r="D39" s="356">
        <v>3526397.01</v>
      </c>
      <c r="E39" s="152">
        <v>750000</v>
      </c>
      <c r="F39" s="356">
        <v>3000000</v>
      </c>
      <c r="G39" s="152">
        <v>2191640</v>
      </c>
      <c r="H39" s="65">
        <v>2902591.93</v>
      </c>
      <c r="I39" s="65">
        <v>3526397</v>
      </c>
      <c r="J39" s="161">
        <f t="shared" si="6"/>
        <v>526397</v>
      </c>
      <c r="M39" s="32">
        <v>750000</v>
      </c>
      <c r="O39" s="309"/>
      <c r="P39" s="310"/>
      <c r="Q39" s="310"/>
      <c r="R39" s="310"/>
    </row>
    <row r="40" spans="1:18" ht="12.75" x14ac:dyDescent="0.2">
      <c r="A40" s="337">
        <v>26</v>
      </c>
      <c r="B40" s="98">
        <v>5949</v>
      </c>
      <c r="C40" s="98" t="s">
        <v>202</v>
      </c>
      <c r="D40" s="356">
        <v>821920.99</v>
      </c>
      <c r="E40" s="152">
        <v>255000</v>
      </c>
      <c r="F40" s="356">
        <v>275000</v>
      </c>
      <c r="G40" s="152">
        <v>220157.97</v>
      </c>
      <c r="H40" s="65">
        <v>302297.90000000002</v>
      </c>
      <c r="I40" s="65">
        <v>275000</v>
      </c>
      <c r="J40" s="161">
        <f t="shared" si="6"/>
        <v>0</v>
      </c>
      <c r="M40" s="32">
        <v>255000</v>
      </c>
    </row>
    <row r="41" spans="1:18" ht="12.75" x14ac:dyDescent="0.2">
      <c r="B41" s="98"/>
      <c r="C41" s="98"/>
      <c r="D41" s="356"/>
      <c r="E41" s="65"/>
      <c r="F41" s="356"/>
      <c r="G41" s="65"/>
      <c r="H41" s="65"/>
      <c r="I41" s="65"/>
      <c r="J41" s="65"/>
    </row>
    <row r="42" spans="1:18" ht="12.75" x14ac:dyDescent="0.2">
      <c r="A42" s="337">
        <v>27</v>
      </c>
      <c r="B42" s="98"/>
      <c r="C42" s="160" t="s">
        <v>121</v>
      </c>
      <c r="D42" s="357">
        <f>SUM(D36:D41)</f>
        <v>10496526.029999999</v>
      </c>
      <c r="E42" s="165">
        <f t="shared" ref="E42:J42" si="7">SUM(E36:E41)</f>
        <v>1245700</v>
      </c>
      <c r="F42" s="357">
        <f t="shared" ref="F42" si="8">SUM(F36:F41)</f>
        <v>6699000</v>
      </c>
      <c r="G42" s="165">
        <f t="shared" si="7"/>
        <v>3340277.98</v>
      </c>
      <c r="H42" s="165">
        <f t="shared" si="7"/>
        <v>6607038.4800000004</v>
      </c>
      <c r="I42" s="165">
        <f t="shared" si="7"/>
        <v>9994113</v>
      </c>
      <c r="J42" s="165">
        <f t="shared" si="7"/>
        <v>3295113</v>
      </c>
      <c r="M42" s="36">
        <f>SUM(M36:M41)</f>
        <v>1245700</v>
      </c>
    </row>
    <row r="43" spans="1:18" ht="12.75" x14ac:dyDescent="0.2">
      <c r="B43" s="98"/>
      <c r="C43" s="98"/>
      <c r="D43" s="356"/>
      <c r="E43" s="65"/>
      <c r="F43" s="356"/>
      <c r="G43" s="65"/>
      <c r="H43" s="65"/>
      <c r="I43" s="65"/>
      <c r="J43" s="65"/>
    </row>
    <row r="44" spans="1:18" ht="12.75" x14ac:dyDescent="0.2">
      <c r="B44" s="160" t="s">
        <v>43</v>
      </c>
      <c r="C44" s="98"/>
      <c r="D44" s="356"/>
      <c r="E44" s="152"/>
      <c r="F44" s="356"/>
      <c r="G44" s="152"/>
      <c r="H44" s="65"/>
      <c r="I44" s="65"/>
      <c r="J44" s="161"/>
    </row>
    <row r="45" spans="1:18" ht="12.75" x14ac:dyDescent="0.2">
      <c r="A45" s="337">
        <v>28</v>
      </c>
      <c r="B45" s="98">
        <v>7912</v>
      </c>
      <c r="C45" s="98" t="s">
        <v>143</v>
      </c>
      <c r="D45" s="356">
        <v>107216.56</v>
      </c>
      <c r="E45" s="152">
        <v>0</v>
      </c>
      <c r="F45" s="356">
        <v>0</v>
      </c>
      <c r="G45" s="152">
        <v>89540.44</v>
      </c>
      <c r="H45" s="65">
        <v>0</v>
      </c>
      <c r="I45" s="65">
        <v>0</v>
      </c>
      <c r="J45" s="161">
        <f>+I45-F45</f>
        <v>0</v>
      </c>
      <c r="M45" s="32">
        <v>0</v>
      </c>
    </row>
    <row r="46" spans="1:18" ht="12.75" x14ac:dyDescent="0.2">
      <c r="A46" s="337">
        <v>29</v>
      </c>
      <c r="B46" s="98">
        <v>7913</v>
      </c>
      <c r="C46" s="98" t="s">
        <v>159</v>
      </c>
      <c r="D46" s="356">
        <v>0</v>
      </c>
      <c r="E46" s="152"/>
      <c r="F46" s="356">
        <v>0</v>
      </c>
      <c r="G46" s="152"/>
      <c r="H46" s="65">
        <v>0</v>
      </c>
      <c r="I46" s="65">
        <v>0</v>
      </c>
      <c r="J46" s="161">
        <f>+I46-F46</f>
        <v>0</v>
      </c>
      <c r="M46" s="49"/>
    </row>
    <row r="47" spans="1:18" ht="12.75" x14ac:dyDescent="0.2">
      <c r="A47" s="337">
        <v>30</v>
      </c>
      <c r="B47" s="98">
        <v>7915</v>
      </c>
      <c r="C47" s="98" t="s">
        <v>165</v>
      </c>
      <c r="D47" s="356">
        <v>0</v>
      </c>
      <c r="E47" s="152"/>
      <c r="F47" s="356">
        <v>493490</v>
      </c>
      <c r="G47" s="152"/>
      <c r="H47" s="65">
        <v>0</v>
      </c>
      <c r="I47" s="65">
        <v>0</v>
      </c>
      <c r="J47" s="161">
        <f>+I47-F47</f>
        <v>-493490</v>
      </c>
      <c r="M47" s="49"/>
    </row>
    <row r="48" spans="1:18" ht="12.75" x14ac:dyDescent="0.2">
      <c r="B48" s="98"/>
      <c r="C48" s="98"/>
      <c r="D48" s="356"/>
      <c r="E48" s="152"/>
      <c r="F48" s="356"/>
      <c r="G48" s="152"/>
      <c r="H48" s="65"/>
      <c r="I48" s="65"/>
      <c r="J48" s="161"/>
      <c r="M48" s="49"/>
    </row>
    <row r="49" spans="1:13" ht="12.75" x14ac:dyDescent="0.2">
      <c r="A49" s="337">
        <v>31</v>
      </c>
      <c r="B49" s="98"/>
      <c r="C49" s="160" t="s">
        <v>162</v>
      </c>
      <c r="D49" s="357">
        <f>SUM(D45:D48)</f>
        <v>107216.56</v>
      </c>
      <c r="E49" s="165">
        <f t="shared" ref="E49:J49" si="9">SUM(E45:E48)</f>
        <v>0</v>
      </c>
      <c r="F49" s="357">
        <f t="shared" ref="F49" si="10">SUM(F45:F48)</f>
        <v>493490</v>
      </c>
      <c r="G49" s="165">
        <f t="shared" si="9"/>
        <v>89540.44</v>
      </c>
      <c r="H49" s="165">
        <f t="shared" si="9"/>
        <v>0</v>
      </c>
      <c r="I49" s="165">
        <f t="shared" si="9"/>
        <v>0</v>
      </c>
      <c r="J49" s="165">
        <f t="shared" si="9"/>
        <v>-493490</v>
      </c>
      <c r="M49" s="49"/>
    </row>
    <row r="50" spans="1:13" ht="12.75" x14ac:dyDescent="0.2">
      <c r="B50" s="98"/>
      <c r="C50" s="98"/>
      <c r="D50" s="356"/>
      <c r="E50" s="65"/>
      <c r="F50" s="356"/>
      <c r="G50" s="65"/>
      <c r="H50" s="65"/>
      <c r="I50" s="65"/>
      <c r="J50" s="65"/>
    </row>
    <row r="51" spans="1:13" ht="13.5" thickBot="1" x14ac:dyDescent="0.25">
      <c r="A51" s="337">
        <v>32</v>
      </c>
      <c r="B51" s="98"/>
      <c r="C51" s="160" t="s">
        <v>195</v>
      </c>
      <c r="D51" s="167">
        <f>+D42+D33+D24+D49</f>
        <v>499219945.6500001</v>
      </c>
      <c r="E51" s="167">
        <f t="shared" ref="E51:J51" si="11">+E42+E33+E24+E49</f>
        <v>373856241</v>
      </c>
      <c r="F51" s="167">
        <f t="shared" si="11"/>
        <v>489988931</v>
      </c>
      <c r="G51" s="167">
        <f t="shared" si="11"/>
        <v>343153924.39000005</v>
      </c>
      <c r="H51" s="167">
        <f t="shared" si="11"/>
        <v>426041679.11000007</v>
      </c>
      <c r="I51" s="167">
        <f t="shared" si="11"/>
        <v>530676571</v>
      </c>
      <c r="J51" s="167">
        <f t="shared" si="11"/>
        <v>40687640</v>
      </c>
      <c r="M51" s="37">
        <f>+M45+M42+M33+M24</f>
        <v>364653514</v>
      </c>
    </row>
    <row r="52" spans="1:13" ht="12.75" thickTop="1" x14ac:dyDescent="0.2">
      <c r="B52" s="103"/>
      <c r="C52" s="103"/>
      <c r="D52" s="106"/>
      <c r="E52" s="106"/>
      <c r="F52" s="106"/>
      <c r="G52" s="106"/>
      <c r="H52" s="106"/>
      <c r="I52" s="106"/>
      <c r="J52" s="106"/>
      <c r="M52" s="38"/>
    </row>
    <row r="53" spans="1:13" x14ac:dyDescent="0.2">
      <c r="B53" s="103"/>
      <c r="C53" s="103"/>
      <c r="D53" s="106"/>
      <c r="E53" s="106"/>
      <c r="F53" s="106"/>
      <c r="G53" s="106"/>
      <c r="H53" s="106"/>
      <c r="I53" s="106"/>
      <c r="J53" s="106"/>
      <c r="M53" s="38"/>
    </row>
    <row r="54" spans="1:13" x14ac:dyDescent="0.2">
      <c r="B54" s="107"/>
      <c r="C54" s="103"/>
      <c r="D54" s="106"/>
      <c r="E54" s="108"/>
      <c r="F54" s="106"/>
      <c r="G54" s="108"/>
      <c r="H54" s="106"/>
      <c r="I54" s="106"/>
      <c r="J54" s="109"/>
      <c r="M54" s="38"/>
    </row>
    <row r="55" spans="1:13" x14ac:dyDescent="0.2">
      <c r="B55" s="103"/>
      <c r="C55" s="103"/>
      <c r="D55" s="106"/>
      <c r="E55" s="108"/>
      <c r="F55" s="106"/>
      <c r="G55" s="108"/>
      <c r="H55" s="106"/>
      <c r="I55" s="106"/>
      <c r="J55" s="109"/>
      <c r="M55" s="38"/>
    </row>
    <row r="56" spans="1:13" x14ac:dyDescent="0.2">
      <c r="B56" s="103"/>
      <c r="C56" s="103"/>
      <c r="D56" s="106"/>
      <c r="E56" s="108"/>
      <c r="F56" s="106"/>
      <c r="G56" s="108"/>
      <c r="H56" s="106"/>
      <c r="I56" s="106"/>
      <c r="J56" s="109"/>
      <c r="M56" s="38"/>
    </row>
    <row r="57" spans="1:13" x14ac:dyDescent="0.2">
      <c r="B57" s="103"/>
      <c r="C57" s="103"/>
      <c r="D57" s="81"/>
      <c r="E57" s="104"/>
      <c r="F57" s="81"/>
      <c r="G57" s="104"/>
      <c r="H57" s="81"/>
      <c r="I57" s="81"/>
      <c r="J57" s="105"/>
    </row>
    <row r="58" spans="1:13" x14ac:dyDescent="0.2">
      <c r="B58" s="103"/>
      <c r="C58" s="103"/>
      <c r="D58" s="81"/>
      <c r="E58" s="104"/>
      <c r="F58" s="81"/>
      <c r="G58" s="104"/>
      <c r="H58" s="81"/>
      <c r="I58" s="81"/>
      <c r="J58" s="105"/>
    </row>
    <row r="59" spans="1:13" x14ac:dyDescent="0.2">
      <c r="B59" s="103"/>
      <c r="C59" s="103"/>
      <c r="D59" s="81"/>
      <c r="E59" s="104"/>
      <c r="F59" s="81"/>
      <c r="G59" s="104"/>
      <c r="H59" s="81"/>
      <c r="I59" s="81"/>
      <c r="J59" s="105"/>
    </row>
    <row r="60" spans="1:13" x14ac:dyDescent="0.2">
      <c r="B60" s="103"/>
      <c r="C60" s="103"/>
      <c r="D60" s="81"/>
      <c r="E60" s="104"/>
      <c r="F60" s="81"/>
      <c r="G60" s="104"/>
      <c r="H60" s="81"/>
      <c r="I60" s="81"/>
      <c r="J60" s="105"/>
    </row>
    <row r="61" spans="1:13" x14ac:dyDescent="0.2">
      <c r="B61" s="103"/>
      <c r="C61" s="103"/>
      <c r="D61" s="81"/>
      <c r="E61" s="104"/>
      <c r="F61" s="81"/>
      <c r="G61" s="104"/>
      <c r="H61" s="81"/>
      <c r="I61" s="81"/>
      <c r="J61" s="105"/>
    </row>
    <row r="62" spans="1:13" x14ac:dyDescent="0.2">
      <c r="B62" s="103"/>
      <c r="C62" s="103"/>
      <c r="D62" s="81"/>
      <c r="E62" s="104"/>
      <c r="F62" s="81"/>
      <c r="G62" s="104"/>
      <c r="H62" s="81"/>
      <c r="I62" s="81"/>
      <c r="J62" s="105"/>
    </row>
    <row r="63" spans="1:13" x14ac:dyDescent="0.2">
      <c r="B63" s="103"/>
      <c r="C63" s="103"/>
      <c r="D63" s="81"/>
      <c r="E63" s="104"/>
      <c r="F63" s="81"/>
      <c r="G63" s="104"/>
      <c r="H63" s="81"/>
      <c r="I63" s="81"/>
      <c r="J63" s="105"/>
    </row>
    <row r="64" spans="1:13" x14ac:dyDescent="0.2">
      <c r="B64" s="103"/>
      <c r="C64" s="103"/>
      <c r="D64" s="81"/>
      <c r="E64" s="104"/>
      <c r="F64" s="81"/>
      <c r="G64" s="104"/>
      <c r="H64" s="81"/>
      <c r="I64" s="81"/>
      <c r="J64" s="105"/>
    </row>
    <row r="65" spans="2:10" x14ac:dyDescent="0.2">
      <c r="B65" s="103"/>
      <c r="C65" s="103"/>
      <c r="D65" s="81"/>
      <c r="E65" s="104"/>
      <c r="F65" s="81"/>
      <c r="G65" s="104"/>
      <c r="H65" s="81"/>
      <c r="I65" s="81"/>
      <c r="J65" s="105"/>
    </row>
    <row r="66" spans="2:10" x14ac:dyDescent="0.2">
      <c r="B66" s="103"/>
      <c r="C66" s="103"/>
      <c r="D66" s="81"/>
      <c r="E66" s="104"/>
      <c r="F66" s="81"/>
      <c r="G66" s="104"/>
      <c r="H66" s="81"/>
      <c r="I66" s="81"/>
      <c r="J66" s="105"/>
    </row>
    <row r="83" spans="12:12" x14ac:dyDescent="0.2">
      <c r="L83" s="31" t="str">
        <f>IF(D83=0,"n/a",(+J83-D83)/D83)</f>
        <v>n/a</v>
      </c>
    </row>
    <row r="84" spans="12:12" x14ac:dyDescent="0.2">
      <c r="L84" s="61" t="str">
        <f>IF(D84=0,"n/a",(+J84-D84)/D84)</f>
        <v>n/a</v>
      </c>
    </row>
    <row r="121" spans="12:12" x14ac:dyDescent="0.2">
      <c r="L121" s="31" t="str">
        <f>IF(D121=0,"n/a",(+J121-D121)/D121)</f>
        <v>n/a</v>
      </c>
    </row>
  </sheetData>
  <mergeCells count="3">
    <mergeCell ref="J4:J6"/>
    <mergeCell ref="B1:J1"/>
    <mergeCell ref="B2:J2"/>
  </mergeCells>
  <pageMargins left="0.7" right="0.7" top="0.75" bottom="0.75" header="0.3" footer="0.3"/>
  <pageSetup scale="85" orientation="portrait" r:id="rId1"/>
  <headerFooter>
    <oddFooter>&amp;C&amp;"Arial,Regular"&amp;10 -3-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8"/>
  <sheetViews>
    <sheetView tabSelected="1" zoomScale="110" zoomScaleNormal="110" workbookViewId="0">
      <selection activeCell="N164" sqref="N164"/>
    </sheetView>
  </sheetViews>
  <sheetFormatPr defaultRowHeight="15" x14ac:dyDescent="0.25"/>
  <cols>
    <col min="1" max="1" width="5.85546875" style="336" bestFit="1" customWidth="1"/>
    <col min="2" max="2" width="9.140625" style="29"/>
    <col min="3" max="3" width="24.7109375" style="29" customWidth="1"/>
    <col min="4" max="4" width="16.7109375" style="29" customWidth="1"/>
    <col min="5" max="5" width="1.28515625" style="29" customWidth="1"/>
    <col min="6" max="6" width="16.7109375" style="29" customWidth="1"/>
    <col min="7" max="7" width="1.28515625" style="335" customWidth="1"/>
    <col min="8" max="8" width="14.7109375" style="29" customWidth="1"/>
    <col min="9" max="9" width="1.28515625" style="335" customWidth="1"/>
    <col min="10" max="10" width="8.28515625" style="29" hidden="1" customWidth="1"/>
    <col min="11" max="11" width="0" style="29" hidden="1" customWidth="1"/>
    <col min="12" max="12" width="1.28515625" style="29" hidden="1" customWidth="1"/>
    <col min="13" max="16384" width="9.140625" style="29"/>
  </cols>
  <sheetData>
    <row r="1" spans="1:12" x14ac:dyDescent="0.25">
      <c r="B1" s="368" t="s">
        <v>0</v>
      </c>
      <c r="C1" s="368"/>
      <c r="D1" s="368"/>
      <c r="E1" s="368"/>
      <c r="F1" s="368"/>
      <c r="G1" s="368"/>
      <c r="H1" s="368"/>
      <c r="I1" s="368"/>
      <c r="J1" s="368"/>
    </row>
    <row r="2" spans="1:12" x14ac:dyDescent="0.25">
      <c r="B2" s="368" t="s">
        <v>150</v>
      </c>
      <c r="C2" s="368"/>
      <c r="D2" s="368"/>
      <c r="E2" s="368"/>
      <c r="F2" s="368"/>
      <c r="G2" s="368"/>
      <c r="H2" s="368"/>
      <c r="I2" s="368"/>
      <c r="J2" s="368"/>
    </row>
    <row r="3" spans="1:12" x14ac:dyDescent="0.25">
      <c r="B3" s="369" t="s">
        <v>47</v>
      </c>
      <c r="C3" s="369"/>
      <c r="D3" s="369"/>
      <c r="E3" s="369"/>
      <c r="F3" s="369"/>
      <c r="G3" s="369"/>
      <c r="H3" s="369"/>
      <c r="I3" s="369"/>
      <c r="J3" s="369"/>
    </row>
    <row r="4" spans="1:12" x14ac:dyDescent="0.25">
      <c r="B4" s="232"/>
      <c r="C4" s="232"/>
      <c r="D4" s="232"/>
      <c r="E4" s="232"/>
      <c r="F4" s="232"/>
      <c r="G4" s="334"/>
      <c r="H4" s="232"/>
      <c r="I4" s="334"/>
      <c r="J4" s="232"/>
    </row>
    <row r="5" spans="1:12" x14ac:dyDescent="0.25">
      <c r="B5" s="192"/>
      <c r="C5" s="192"/>
      <c r="D5" s="175" t="s">
        <v>150</v>
      </c>
      <c r="E5" s="175"/>
      <c r="F5" s="175" t="s">
        <v>150</v>
      </c>
      <c r="G5" s="176"/>
      <c r="H5" s="177" t="s">
        <v>48</v>
      </c>
      <c r="I5" s="178"/>
      <c r="J5" s="179"/>
      <c r="L5" s="24" t="s">
        <v>48</v>
      </c>
    </row>
    <row r="6" spans="1:12" x14ac:dyDescent="0.25">
      <c r="B6" s="192"/>
      <c r="C6" s="192"/>
      <c r="D6" s="355" t="s">
        <v>154</v>
      </c>
      <c r="E6" s="355"/>
      <c r="F6" s="355" t="s">
        <v>154</v>
      </c>
      <c r="G6" s="181"/>
      <c r="H6" s="177" t="s">
        <v>49</v>
      </c>
      <c r="I6" s="178"/>
      <c r="J6" s="182" t="s">
        <v>48</v>
      </c>
      <c r="L6" s="24" t="s">
        <v>49</v>
      </c>
    </row>
    <row r="7" spans="1:12" x14ac:dyDescent="0.25">
      <c r="A7" s="336" t="s">
        <v>238</v>
      </c>
      <c r="B7" s="192"/>
      <c r="C7" s="192"/>
      <c r="D7" s="183" t="s">
        <v>212</v>
      </c>
      <c r="E7" s="181"/>
      <c r="F7" s="183" t="s">
        <v>221</v>
      </c>
      <c r="G7" s="181"/>
      <c r="H7" s="184" t="s">
        <v>50</v>
      </c>
      <c r="I7" s="178"/>
      <c r="J7" s="185" t="s">
        <v>51</v>
      </c>
      <c r="L7" s="25" t="s">
        <v>50</v>
      </c>
    </row>
    <row r="8" spans="1:12" x14ac:dyDescent="0.25">
      <c r="B8" s="186" t="s">
        <v>52</v>
      </c>
      <c r="C8" s="192"/>
      <c r="D8" s="187"/>
      <c r="E8" s="187"/>
      <c r="F8" s="187"/>
      <c r="G8" s="188"/>
      <c r="H8" s="189"/>
      <c r="I8" s="190"/>
      <c r="J8" s="191"/>
      <c r="L8" s="26"/>
    </row>
    <row r="9" spans="1:12" x14ac:dyDescent="0.25">
      <c r="A9" s="336">
        <v>1</v>
      </c>
      <c r="B9" s="192" t="s">
        <v>53</v>
      </c>
      <c r="C9" s="192"/>
      <c r="D9" s="193">
        <f>284435883-574271</f>
        <v>283861612</v>
      </c>
      <c r="E9" s="194"/>
      <c r="F9" s="193">
        <v>301358523.00000012</v>
      </c>
      <c r="G9" s="195"/>
      <c r="H9" s="196">
        <f t="shared" ref="H9:H14" si="0">(+F9-D9)/D9</f>
        <v>6.1638877045481301E-2</v>
      </c>
      <c r="I9" s="197"/>
      <c r="J9" s="198">
        <f t="shared" ref="J9:J14" si="1">+F9/F$163</f>
        <v>0.55492599880250237</v>
      </c>
      <c r="L9" s="22" t="e">
        <f>(+F9-#REF!)/#REF!</f>
        <v>#REF!</v>
      </c>
    </row>
    <row r="10" spans="1:12" x14ac:dyDescent="0.25">
      <c r="A10" s="336">
        <v>2</v>
      </c>
      <c r="B10" s="192" t="s">
        <v>54</v>
      </c>
      <c r="C10" s="192"/>
      <c r="D10" s="199">
        <v>2318603</v>
      </c>
      <c r="E10" s="200"/>
      <c r="F10" s="199">
        <v>2088551</v>
      </c>
      <c r="G10" s="201">
        <f>+F10/F$28</f>
        <v>0.60041730643015856</v>
      </c>
      <c r="H10" s="196">
        <f t="shared" si="0"/>
        <v>-9.9220090718419668E-2</v>
      </c>
      <c r="I10" s="197"/>
      <c r="J10" s="198">
        <f t="shared" si="1"/>
        <v>3.8458884062322163E-3</v>
      </c>
      <c r="L10" s="22" t="e">
        <f>(+F10-#REF!)/#REF!</f>
        <v>#REF!</v>
      </c>
    </row>
    <row r="11" spans="1:12" x14ac:dyDescent="0.25">
      <c r="A11" s="336">
        <v>3</v>
      </c>
      <c r="B11" s="192" t="s">
        <v>55</v>
      </c>
      <c r="C11" s="192"/>
      <c r="D11" s="199">
        <v>6626040</v>
      </c>
      <c r="E11" s="200"/>
      <c r="F11" s="199">
        <v>7754234</v>
      </c>
      <c r="G11" s="201">
        <f t="shared" ref="G11:G28" si="2">+F11/F$28</f>
        <v>2.2291896591029636</v>
      </c>
      <c r="H11" s="196">
        <f t="shared" si="0"/>
        <v>0.17026670530211108</v>
      </c>
      <c r="I11" s="197"/>
      <c r="J11" s="198">
        <f t="shared" si="1"/>
        <v>1.4278760078069275E-2</v>
      </c>
      <c r="L11" s="22" t="e">
        <f>(+F11-#REF!)/#REF!</f>
        <v>#REF!</v>
      </c>
    </row>
    <row r="12" spans="1:12" x14ac:dyDescent="0.25">
      <c r="A12" s="336">
        <v>4</v>
      </c>
      <c r="B12" s="192" t="s">
        <v>56</v>
      </c>
      <c r="C12" s="192"/>
      <c r="D12" s="199">
        <v>466814</v>
      </c>
      <c r="E12" s="200"/>
      <c r="F12" s="199">
        <v>526320</v>
      </c>
      <c r="G12" s="201"/>
      <c r="H12" s="196">
        <f t="shared" si="0"/>
        <v>0.12747261221814254</v>
      </c>
      <c r="I12" s="197"/>
      <c r="J12" s="198">
        <f t="shared" si="1"/>
        <v>9.6917335797313067E-4</v>
      </c>
      <c r="L12" s="22" t="e">
        <f>(+F12-#REF!)/#REF!</f>
        <v>#REF!</v>
      </c>
    </row>
    <row r="13" spans="1:12" x14ac:dyDescent="0.25">
      <c r="A13" s="336">
        <v>5</v>
      </c>
      <c r="B13" s="192" t="s">
        <v>57</v>
      </c>
      <c r="C13" s="192"/>
      <c r="D13" s="202">
        <v>125</v>
      </c>
      <c r="E13" s="200"/>
      <c r="F13" s="202">
        <f>125</f>
        <v>125</v>
      </c>
      <c r="G13" s="201">
        <f t="shared" si="2"/>
        <v>3.5935039797337877E-5</v>
      </c>
      <c r="H13" s="196">
        <f t="shared" si="0"/>
        <v>0</v>
      </c>
      <c r="I13" s="197"/>
      <c r="J13" s="198">
        <f t="shared" si="1"/>
        <v>2.301768311039697E-7</v>
      </c>
      <c r="L13" s="22" t="e">
        <f>(+F13-#REF!)/#REF!</f>
        <v>#REF!</v>
      </c>
    </row>
    <row r="14" spans="1:12" x14ac:dyDescent="0.25">
      <c r="A14" s="336">
        <v>6</v>
      </c>
      <c r="B14" s="186" t="s">
        <v>58</v>
      </c>
      <c r="C14" s="192"/>
      <c r="D14" s="203">
        <f>SUM(D9:D13)</f>
        <v>293273194</v>
      </c>
      <c r="E14" s="204"/>
      <c r="F14" s="203">
        <f>SUM(F9:F13)</f>
        <v>311727753.00000012</v>
      </c>
      <c r="G14" s="201"/>
      <c r="H14" s="205">
        <f t="shared" si="0"/>
        <v>6.2926170470254839E-2</v>
      </c>
      <c r="I14" s="197"/>
      <c r="J14" s="206">
        <f t="shared" si="1"/>
        <v>0.57402005082160812</v>
      </c>
      <c r="L14" s="22" t="e">
        <f>(+F14-#REF!)/#REF!</f>
        <v>#REF!</v>
      </c>
    </row>
    <row r="15" spans="1:12" x14ac:dyDescent="0.25">
      <c r="B15" s="186"/>
      <c r="C15" s="192"/>
      <c r="D15" s="204"/>
      <c r="E15" s="204"/>
      <c r="F15" s="204"/>
      <c r="G15" s="201"/>
      <c r="H15" s="197"/>
      <c r="I15" s="197"/>
      <c r="J15" s="207"/>
      <c r="L15" s="23"/>
    </row>
    <row r="16" spans="1:12" x14ac:dyDescent="0.25">
      <c r="B16" s="186" t="s">
        <v>59</v>
      </c>
      <c r="C16" s="192"/>
      <c r="D16" s="208"/>
      <c r="E16" s="208"/>
      <c r="F16" s="208"/>
      <c r="G16" s="201">
        <f t="shared" si="2"/>
        <v>0</v>
      </c>
      <c r="H16" s="198"/>
      <c r="I16" s="207"/>
      <c r="J16" s="198"/>
      <c r="L16" s="21"/>
    </row>
    <row r="17" spans="1:12" x14ac:dyDescent="0.25">
      <c r="A17" s="336">
        <v>7</v>
      </c>
      <c r="B17" s="192" t="s">
        <v>53</v>
      </c>
      <c r="C17" s="192"/>
      <c r="D17" s="200">
        <f>5825643-5370</f>
        <v>5820273</v>
      </c>
      <c r="E17" s="200"/>
      <c r="F17" s="200">
        <f>5675246+334866-30000</f>
        <v>5980112</v>
      </c>
      <c r="G17" s="201">
        <f t="shared" si="2"/>
        <v>1.7191645017003023</v>
      </c>
      <c r="H17" s="196">
        <f>(+F17-D17)/D17</f>
        <v>2.7462457517027122E-2</v>
      </c>
      <c r="I17" s="197"/>
      <c r="J17" s="198">
        <f>+F17/F$163</f>
        <v>1.1011865838454579E-2</v>
      </c>
      <c r="L17" s="22" t="e">
        <f>(+F17-#REF!)/#REF!</f>
        <v>#REF!</v>
      </c>
    </row>
    <row r="18" spans="1:12" x14ac:dyDescent="0.25">
      <c r="A18" s="336">
        <v>8</v>
      </c>
      <c r="B18" s="192" t="s">
        <v>54</v>
      </c>
      <c r="C18" s="192"/>
      <c r="D18" s="200">
        <v>254405</v>
      </c>
      <c r="E18" s="200"/>
      <c r="F18" s="200">
        <f>227400+15000+15000</f>
        <v>257400</v>
      </c>
      <c r="G18" s="201"/>
      <c r="H18" s="196">
        <f>(+F18-D18)/D18</f>
        <v>1.1772567363062833E-2</v>
      </c>
      <c r="I18" s="197"/>
      <c r="J18" s="198">
        <f>+F18/F$163</f>
        <v>4.7398013060929442E-4</v>
      </c>
      <c r="L18" s="22" t="e">
        <f>(+F18-#REF!)/#REF!</f>
        <v>#REF!</v>
      </c>
    </row>
    <row r="19" spans="1:12" x14ac:dyDescent="0.25">
      <c r="A19" s="336">
        <v>9</v>
      </c>
      <c r="B19" s="192" t="s">
        <v>55</v>
      </c>
      <c r="C19" s="192"/>
      <c r="D19" s="200">
        <v>387141</v>
      </c>
      <c r="E19" s="200"/>
      <c r="F19" s="200">
        <v>391425</v>
      </c>
      <c r="G19" s="201">
        <f t="shared" si="2"/>
        <v>0.11252698362138382</v>
      </c>
      <c r="H19" s="196">
        <f>(+F19-D19)/D19</f>
        <v>1.106573573969174E-2</v>
      </c>
      <c r="I19" s="197"/>
      <c r="J19" s="198">
        <f>+F19/F$163</f>
        <v>7.2077572891897075E-4</v>
      </c>
      <c r="L19" s="22" t="e">
        <f>(+F19-#REF!)/#REF!</f>
        <v>#REF!</v>
      </c>
    </row>
    <row r="20" spans="1:12" x14ac:dyDescent="0.25">
      <c r="A20" s="336">
        <v>10</v>
      </c>
      <c r="B20" s="192" t="s">
        <v>56</v>
      </c>
      <c r="C20" s="192"/>
      <c r="D20" s="200">
        <v>4115</v>
      </c>
      <c r="E20" s="200"/>
      <c r="F20" s="200">
        <v>4430</v>
      </c>
      <c r="G20" s="201"/>
      <c r="H20" s="196">
        <f>(+F20-D20)/D20</f>
        <v>7.6549210206561358E-2</v>
      </c>
      <c r="I20" s="197"/>
      <c r="J20" s="198">
        <f>+F20/F$163</f>
        <v>8.157466894324687E-6</v>
      </c>
      <c r="L20" s="22" t="e">
        <f>(+F20-#REF!)/#REF!</f>
        <v>#REF!</v>
      </c>
    </row>
    <row r="21" spans="1:12" x14ac:dyDescent="0.25">
      <c r="A21" s="336">
        <v>11</v>
      </c>
      <c r="B21" s="186" t="s">
        <v>60</v>
      </c>
      <c r="C21" s="192"/>
      <c r="D21" s="203">
        <f>SUM(D17:D20)</f>
        <v>6465934</v>
      </c>
      <c r="E21" s="204"/>
      <c r="F21" s="203">
        <f>SUM(F17:F20)</f>
        <v>6633367</v>
      </c>
      <c r="G21" s="201"/>
      <c r="H21" s="205">
        <f>(+F21-D21)/D21</f>
        <v>2.5894634866362693E-2</v>
      </c>
      <c r="I21" s="197"/>
      <c r="J21" s="206">
        <f>+F21/F$163</f>
        <v>1.2214779164877169E-2</v>
      </c>
      <c r="L21" s="22" t="e">
        <f>(+F21-#REF!)/#REF!</f>
        <v>#REF!</v>
      </c>
    </row>
    <row r="22" spans="1:12" x14ac:dyDescent="0.25">
      <c r="B22" s="186"/>
      <c r="C22" s="192"/>
      <c r="D22" s="204"/>
      <c r="E22" s="204"/>
      <c r="F22" s="204"/>
      <c r="G22" s="201">
        <f t="shared" si="2"/>
        <v>0</v>
      </c>
      <c r="H22" s="197"/>
      <c r="I22" s="197"/>
      <c r="J22" s="207"/>
      <c r="L22" s="23"/>
    </row>
    <row r="23" spans="1:12" x14ac:dyDescent="0.25">
      <c r="B23" s="186" t="s">
        <v>61</v>
      </c>
      <c r="C23" s="192"/>
      <c r="D23" s="208"/>
      <c r="E23" s="208"/>
      <c r="F23" s="208"/>
      <c r="G23" s="201">
        <f t="shared" si="2"/>
        <v>0</v>
      </c>
      <c r="H23" s="198"/>
      <c r="I23" s="207"/>
      <c r="J23" s="198"/>
      <c r="L23" s="21"/>
    </row>
    <row r="24" spans="1:12" x14ac:dyDescent="0.25">
      <c r="A24" s="336">
        <v>12</v>
      </c>
      <c r="B24" s="192" t="s">
        <v>53</v>
      </c>
      <c r="C24" s="192"/>
      <c r="D24" s="200">
        <f>1356651-80000</f>
        <v>1276651</v>
      </c>
      <c r="E24" s="200"/>
      <c r="F24" s="200">
        <v>2375818</v>
      </c>
      <c r="G24" s="201">
        <f t="shared" si="2"/>
        <v>0.68300091504985339</v>
      </c>
      <c r="H24" s="196">
        <f>(+F24-D24)/D24</f>
        <v>0.8609768840505353</v>
      </c>
      <c r="I24" s="197"/>
      <c r="J24" s="198">
        <f>+F24/F$163</f>
        <v>4.374866068158169E-3</v>
      </c>
      <c r="L24" s="22" t="e">
        <f>(+F24-#REF!)/#REF!</f>
        <v>#REF!</v>
      </c>
    </row>
    <row r="25" spans="1:12" x14ac:dyDescent="0.25">
      <c r="A25" s="336">
        <v>13</v>
      </c>
      <c r="B25" s="192" t="s">
        <v>54</v>
      </c>
      <c r="C25" s="192"/>
      <c r="D25" s="200">
        <v>416001</v>
      </c>
      <c r="E25" s="200"/>
      <c r="F25" s="200">
        <v>464353</v>
      </c>
      <c r="G25" s="201"/>
      <c r="H25" s="196">
        <f>(+F25-D25)/D25</f>
        <v>0.11623048983055329</v>
      </c>
      <c r="I25" s="197"/>
      <c r="J25" s="198">
        <f>+F25/F$163</f>
        <v>8.5506641642897315E-4</v>
      </c>
      <c r="L25" s="22" t="e">
        <f>(+F25-#REF!)/#REF!</f>
        <v>#REF!</v>
      </c>
    </row>
    <row r="26" spans="1:12" x14ac:dyDescent="0.25">
      <c r="A26" s="336">
        <v>14</v>
      </c>
      <c r="B26" s="192" t="s">
        <v>55</v>
      </c>
      <c r="C26" s="192"/>
      <c r="D26" s="200">
        <v>278201</v>
      </c>
      <c r="E26" s="200"/>
      <c r="F26" s="200">
        <v>221586</v>
      </c>
      <c r="G26" s="201">
        <f t="shared" si="2"/>
        <v>6.3701613828263282E-2</v>
      </c>
      <c r="H26" s="196">
        <f>(+F26-D26)/D26</f>
        <v>-0.20350394139489075</v>
      </c>
      <c r="I26" s="197"/>
      <c r="J26" s="198">
        <f>+F26/F$163</f>
        <v>4.0803170637603383E-4</v>
      </c>
      <c r="L26" s="22" t="e">
        <f>(+F26-#REF!)/#REF!</f>
        <v>#REF!</v>
      </c>
    </row>
    <row r="27" spans="1:12" x14ac:dyDescent="0.25">
      <c r="A27" s="336">
        <v>15</v>
      </c>
      <c r="B27" s="192" t="s">
        <v>56</v>
      </c>
      <c r="C27" s="192"/>
      <c r="D27" s="200">
        <v>443982</v>
      </c>
      <c r="E27" s="200"/>
      <c r="F27" s="200">
        <v>416742</v>
      </c>
      <c r="G27" s="201"/>
      <c r="H27" s="196">
        <f>(+F27-D27)/D27</f>
        <v>-6.1353838669135234E-2</v>
      </c>
      <c r="I27" s="197"/>
      <c r="J27" s="198">
        <f>+F27/F$163</f>
        <v>7.673948235834443E-4</v>
      </c>
      <c r="L27" s="22" t="e">
        <f>(+F27-#REF!)/#REF!</f>
        <v>#REF!</v>
      </c>
    </row>
    <row r="28" spans="1:12" x14ac:dyDescent="0.25">
      <c r="A28" s="336">
        <v>16</v>
      </c>
      <c r="B28" s="186" t="s">
        <v>62</v>
      </c>
      <c r="C28" s="192"/>
      <c r="D28" s="203">
        <f>SUM(D24:D27)</f>
        <v>2414835</v>
      </c>
      <c r="E28" s="204"/>
      <c r="F28" s="203">
        <f>SUM(F24:F27)</f>
        <v>3478499</v>
      </c>
      <c r="G28" s="201">
        <f t="shared" si="2"/>
        <v>1</v>
      </c>
      <c r="H28" s="205">
        <f>(+F28-D28)/D28</f>
        <v>0.44047067397979572</v>
      </c>
      <c r="I28" s="197"/>
      <c r="J28" s="206">
        <f>+F28/F$163</f>
        <v>6.4053590145466202E-3</v>
      </c>
      <c r="L28" s="22" t="e">
        <f>(+F28-#REF!)/#REF!</f>
        <v>#REF!</v>
      </c>
    </row>
    <row r="29" spans="1:12" x14ac:dyDescent="0.25">
      <c r="B29" s="186"/>
      <c r="C29" s="192"/>
      <c r="D29" s="204"/>
      <c r="E29" s="204"/>
      <c r="F29" s="204"/>
      <c r="G29" s="201"/>
      <c r="H29" s="197"/>
      <c r="I29" s="197"/>
      <c r="J29" s="207"/>
      <c r="L29" s="23"/>
    </row>
    <row r="30" spans="1:12" x14ac:dyDescent="0.25">
      <c r="B30" s="186" t="s">
        <v>63</v>
      </c>
      <c r="C30" s="192"/>
      <c r="D30" s="208"/>
      <c r="E30" s="208"/>
      <c r="F30" s="208"/>
      <c r="G30" s="201"/>
      <c r="H30" s="196"/>
      <c r="I30" s="197"/>
      <c r="J30" s="198"/>
      <c r="L30" s="22"/>
    </row>
    <row r="31" spans="1:12" x14ac:dyDescent="0.25">
      <c r="A31" s="336">
        <v>17</v>
      </c>
      <c r="B31" s="192" t="s">
        <v>53</v>
      </c>
      <c r="C31" s="192"/>
      <c r="D31" s="200">
        <v>10289279</v>
      </c>
      <c r="E31" s="200"/>
      <c r="F31" s="200">
        <v>11096788</v>
      </c>
      <c r="G31" s="201"/>
      <c r="H31" s="196">
        <f>(+F31-D31)/D31</f>
        <v>7.8480620459412176E-2</v>
      </c>
      <c r="I31" s="197"/>
      <c r="J31" s="198">
        <f>+F31/F$163</f>
        <v>2.0433787978180462E-2</v>
      </c>
      <c r="L31" s="22" t="e">
        <f>(+F31-#REF!)/#REF!</f>
        <v>#REF!</v>
      </c>
    </row>
    <row r="32" spans="1:12" x14ac:dyDescent="0.25">
      <c r="A32" s="336">
        <v>18</v>
      </c>
      <c r="B32" s="192" t="s">
        <v>54</v>
      </c>
      <c r="C32" s="192"/>
      <c r="D32" s="200">
        <v>324870</v>
      </c>
      <c r="E32" s="200"/>
      <c r="F32" s="200">
        <v>442280</v>
      </c>
      <c r="G32" s="201"/>
      <c r="H32" s="196">
        <f>(+F32-D32)/D32</f>
        <v>0.36140610090189923</v>
      </c>
      <c r="I32" s="197"/>
      <c r="J32" s="198">
        <f>+F32/F$163</f>
        <v>8.1442087088530978E-4</v>
      </c>
      <c r="L32" s="22" t="e">
        <f>(+F32-#REF!)/#REF!</f>
        <v>#REF!</v>
      </c>
    </row>
    <row r="33" spans="1:12" x14ac:dyDescent="0.25">
      <c r="A33" s="336">
        <v>19</v>
      </c>
      <c r="B33" s="192" t="s">
        <v>55</v>
      </c>
      <c r="C33" s="192"/>
      <c r="D33" s="200">
        <v>216347</v>
      </c>
      <c r="E33" s="200"/>
      <c r="F33" s="200">
        <v>159800</v>
      </c>
      <c r="G33" s="201"/>
      <c r="H33" s="196">
        <f>(+F33-D33)/D33</f>
        <v>-0.26137177774593595</v>
      </c>
      <c r="I33" s="197"/>
      <c r="J33" s="198">
        <f>+F33/F$163</f>
        <v>2.9425806088331487E-4</v>
      </c>
      <c r="L33" s="22" t="e">
        <f>(+F33-#REF!)/#REF!</f>
        <v>#REF!</v>
      </c>
    </row>
    <row r="34" spans="1:12" x14ac:dyDescent="0.25">
      <c r="A34" s="336">
        <v>20</v>
      </c>
      <c r="B34" s="192" t="s">
        <v>56</v>
      </c>
      <c r="C34" s="192"/>
      <c r="D34" s="200">
        <v>173301</v>
      </c>
      <c r="E34" s="200"/>
      <c r="F34" s="200">
        <v>178945</v>
      </c>
      <c r="G34" s="201"/>
      <c r="H34" s="196">
        <f>(+F34-D34)/D34</f>
        <v>3.256761357407055E-2</v>
      </c>
      <c r="I34" s="197"/>
      <c r="J34" s="198">
        <f>+F34/F$163</f>
        <v>3.2951194433519885E-4</v>
      </c>
      <c r="L34" s="22" t="e">
        <f>(+F34-#REF!)/#REF!</f>
        <v>#REF!</v>
      </c>
    </row>
    <row r="35" spans="1:12" x14ac:dyDescent="0.25">
      <c r="A35" s="336">
        <v>21</v>
      </c>
      <c r="B35" s="209" t="s">
        <v>64</v>
      </c>
      <c r="C35" s="210"/>
      <c r="D35" s="203">
        <f>SUM(D31:D34)</f>
        <v>11003797</v>
      </c>
      <c r="E35" s="204"/>
      <c r="F35" s="203">
        <f>SUM(F31:F34)</f>
        <v>11877813</v>
      </c>
      <c r="G35" s="201"/>
      <c r="H35" s="205">
        <f>(+F35-D35)/D35</f>
        <v>7.9428582697408906E-2</v>
      </c>
      <c r="I35" s="197"/>
      <c r="J35" s="206">
        <f>+F35/F$163</f>
        <v>2.1871978854284286E-2</v>
      </c>
      <c r="L35" s="22" t="e">
        <f>(+F35-#REF!)/#REF!</f>
        <v>#REF!</v>
      </c>
    </row>
    <row r="36" spans="1:12" x14ac:dyDescent="0.25">
      <c r="B36" s="209"/>
      <c r="C36" s="210"/>
      <c r="D36" s="204"/>
      <c r="E36" s="204"/>
      <c r="F36" s="204"/>
      <c r="G36" s="201"/>
      <c r="H36" s="197"/>
      <c r="I36" s="197"/>
      <c r="J36" s="207"/>
      <c r="L36" s="23"/>
    </row>
    <row r="37" spans="1:12" x14ac:dyDescent="0.25">
      <c r="B37" s="186" t="s">
        <v>65</v>
      </c>
      <c r="C37" s="192"/>
      <c r="D37" s="211"/>
      <c r="E37" s="211"/>
      <c r="F37" s="211"/>
      <c r="G37" s="201"/>
      <c r="H37" s="196"/>
      <c r="I37" s="197"/>
      <c r="J37" s="198"/>
      <c r="L37" s="22"/>
    </row>
    <row r="38" spans="1:12" x14ac:dyDescent="0.25">
      <c r="A38" s="336">
        <v>22</v>
      </c>
      <c r="B38" s="192" t="s">
        <v>53</v>
      </c>
      <c r="C38" s="192"/>
      <c r="D38" s="200">
        <f>31366808-1807</f>
        <v>31365001</v>
      </c>
      <c r="E38" s="211"/>
      <c r="F38" s="200">
        <v>32146265</v>
      </c>
      <c r="G38" s="212"/>
      <c r="H38" s="196">
        <f>(+F38-D38)/D38</f>
        <v>2.4908782881913505E-2</v>
      </c>
      <c r="I38" s="197"/>
      <c r="J38" s="198">
        <f>+F38/F$163</f>
        <v>5.9194603276227623E-2</v>
      </c>
      <c r="L38" s="22" t="e">
        <f>(+F38-#REF!)/#REF!</f>
        <v>#REF!</v>
      </c>
    </row>
    <row r="39" spans="1:12" x14ac:dyDescent="0.25">
      <c r="A39" s="336">
        <v>23</v>
      </c>
      <c r="B39" s="192" t="s">
        <v>54</v>
      </c>
      <c r="C39" s="192"/>
      <c r="D39" s="211">
        <v>153888</v>
      </c>
      <c r="E39" s="211"/>
      <c r="F39" s="211">
        <v>151044</v>
      </c>
      <c r="G39" s="212"/>
      <c r="H39" s="196">
        <f>(+F39-D39)/D39</f>
        <v>-1.848097317529632E-2</v>
      </c>
      <c r="I39" s="197"/>
      <c r="J39" s="198">
        <f>+F39/F$163</f>
        <v>2.7813463421814402E-4</v>
      </c>
      <c r="L39" s="22" t="e">
        <f>(+F39-#REF!)/#REF!</f>
        <v>#REF!</v>
      </c>
    </row>
    <row r="40" spans="1:12" x14ac:dyDescent="0.25">
      <c r="A40" s="336">
        <v>24</v>
      </c>
      <c r="B40" s="192" t="s">
        <v>55</v>
      </c>
      <c r="C40" s="192"/>
      <c r="D40" s="211">
        <v>194624</v>
      </c>
      <c r="E40" s="211"/>
      <c r="F40" s="211">
        <v>188809</v>
      </c>
      <c r="G40" s="212"/>
      <c r="H40" s="196">
        <f>(+F40-D40)/D40</f>
        <v>-2.9878123972377508E-2</v>
      </c>
      <c r="I40" s="197"/>
      <c r="J40" s="198">
        <f>+F40/F$163</f>
        <v>3.476756584312753E-4</v>
      </c>
      <c r="L40" s="22" t="e">
        <f>(+F40-#REF!)/#REF!</f>
        <v>#REF!</v>
      </c>
    </row>
    <row r="41" spans="1:12" x14ac:dyDescent="0.25">
      <c r="A41" s="336">
        <v>25</v>
      </c>
      <c r="B41" s="192" t="s">
        <v>56</v>
      </c>
      <c r="C41" s="192"/>
      <c r="D41" s="211">
        <v>197707</v>
      </c>
      <c r="E41" s="211"/>
      <c r="F41" s="211">
        <v>201521</v>
      </c>
      <c r="G41" s="212"/>
      <c r="H41" s="196">
        <f>(+F41-D41)/D41</f>
        <v>1.9291173301906356E-2</v>
      </c>
      <c r="I41" s="197"/>
      <c r="J41" s="198">
        <f>+F41/F$163</f>
        <v>3.7108372144722463E-4</v>
      </c>
      <c r="L41" s="22" t="e">
        <f>(+F41-#REF!)/#REF!</f>
        <v>#REF!</v>
      </c>
    </row>
    <row r="42" spans="1:12" x14ac:dyDescent="0.25">
      <c r="A42" s="336">
        <v>26</v>
      </c>
      <c r="B42" s="209" t="s">
        <v>66</v>
      </c>
      <c r="C42" s="210"/>
      <c r="D42" s="213">
        <f>SUM(D38:D41)</f>
        <v>31911220</v>
      </c>
      <c r="E42" s="214"/>
      <c r="F42" s="213">
        <f>SUM(F38:F41)</f>
        <v>32687639</v>
      </c>
      <c r="G42" s="212"/>
      <c r="H42" s="205">
        <f>(+F42-D42)/D42</f>
        <v>2.4330595947130822E-2</v>
      </c>
      <c r="I42" s="197"/>
      <c r="J42" s="206">
        <f>+F42/F$163</f>
        <v>6.0191497290324268E-2</v>
      </c>
      <c r="L42" s="22" t="e">
        <f>(+F42-#REF!)/#REF!</f>
        <v>#REF!</v>
      </c>
    </row>
    <row r="43" spans="1:12" x14ac:dyDescent="0.25">
      <c r="B43" s="209"/>
      <c r="C43" s="210"/>
      <c r="D43" s="214"/>
      <c r="E43" s="214"/>
      <c r="F43" s="214"/>
      <c r="G43" s="212"/>
      <c r="H43" s="197"/>
      <c r="I43" s="197"/>
      <c r="J43" s="207"/>
      <c r="L43" s="23"/>
    </row>
    <row r="44" spans="1:12" x14ac:dyDescent="0.25">
      <c r="B44" s="186" t="s">
        <v>67</v>
      </c>
      <c r="C44" s="192"/>
      <c r="D44" s="208"/>
      <c r="E44" s="208"/>
      <c r="F44" s="208"/>
      <c r="G44" s="188"/>
      <c r="H44" s="215"/>
      <c r="I44" s="216"/>
      <c r="J44" s="217"/>
      <c r="L44" s="27"/>
    </row>
    <row r="45" spans="1:12" x14ac:dyDescent="0.25">
      <c r="A45" s="336">
        <v>27</v>
      </c>
      <c r="B45" s="192" t="s">
        <v>53</v>
      </c>
      <c r="C45" s="192"/>
      <c r="D45" s="200">
        <f>22717192-4583</f>
        <v>22712609</v>
      </c>
      <c r="E45" s="200"/>
      <c r="F45" s="200">
        <v>23371442</v>
      </c>
      <c r="G45" s="218"/>
      <c r="H45" s="196">
        <f>(+F45-D45)/D45</f>
        <v>2.9007367669649928E-2</v>
      </c>
      <c r="I45" s="197"/>
      <c r="J45" s="198">
        <f>+F45/F$163</f>
        <v>4.3036515663121791E-2</v>
      </c>
      <c r="L45" s="22" t="e">
        <f>(+F45-#REF!)/#REF!</f>
        <v>#REF!</v>
      </c>
    </row>
    <row r="46" spans="1:12" x14ac:dyDescent="0.25">
      <c r="A46" s="336">
        <v>28</v>
      </c>
      <c r="B46" s="192" t="s">
        <v>54</v>
      </c>
      <c r="C46" s="192"/>
      <c r="D46" s="200">
        <v>79372</v>
      </c>
      <c r="E46" s="200"/>
      <c r="F46" s="200">
        <v>97355</v>
      </c>
      <c r="G46" s="218"/>
      <c r="H46" s="196">
        <f>(+F46-D46)/D46</f>
        <v>0.22656604344101194</v>
      </c>
      <c r="I46" s="197"/>
      <c r="J46" s="198">
        <f>+F46/F$163</f>
        <v>1.7927092313701576E-4</v>
      </c>
      <c r="L46" s="22" t="e">
        <f>(+F46-#REF!)/#REF!</f>
        <v>#REF!</v>
      </c>
    </row>
    <row r="47" spans="1:12" x14ac:dyDescent="0.25">
      <c r="A47" s="336">
        <v>29</v>
      </c>
      <c r="B47" s="192" t="s">
        <v>68</v>
      </c>
      <c r="C47" s="192"/>
      <c r="D47" s="200">
        <v>525779</v>
      </c>
      <c r="E47" s="200"/>
      <c r="F47" s="200">
        <v>544768</v>
      </c>
      <c r="G47" s="218"/>
      <c r="H47" s="196">
        <f>(+F47-D47)/D47</f>
        <v>3.6115934641741114E-2</v>
      </c>
      <c r="I47" s="197"/>
      <c r="J47" s="198">
        <f>+F47/F$163</f>
        <v>1.003143775414779E-3</v>
      </c>
      <c r="L47" s="22" t="e">
        <f>(+F47-#REF!)/#REF!</f>
        <v>#REF!</v>
      </c>
    </row>
    <row r="48" spans="1:12" x14ac:dyDescent="0.25">
      <c r="A48" s="336">
        <v>30</v>
      </c>
      <c r="B48" s="192" t="s">
        <v>56</v>
      </c>
      <c r="C48" s="192"/>
      <c r="D48" s="200">
        <v>57631</v>
      </c>
      <c r="E48" s="200"/>
      <c r="F48" s="200">
        <v>51175</v>
      </c>
      <c r="G48" s="218"/>
      <c r="H48" s="196">
        <f>(+F48-D48)/D48</f>
        <v>-0.11202304315385817</v>
      </c>
      <c r="I48" s="197"/>
      <c r="J48" s="198">
        <f>+F48/F$163</f>
        <v>9.4234394653965194E-5</v>
      </c>
      <c r="L48" s="22" t="e">
        <f>(+F48-#REF!)/#REF!</f>
        <v>#REF!</v>
      </c>
    </row>
    <row r="49" spans="1:12" x14ac:dyDescent="0.25">
      <c r="A49" s="336">
        <v>31</v>
      </c>
      <c r="B49" s="186" t="s">
        <v>69</v>
      </c>
      <c r="C49" s="192"/>
      <c r="D49" s="203">
        <f>SUM(D45:D48)</f>
        <v>23375391</v>
      </c>
      <c r="E49" s="204"/>
      <c r="F49" s="203">
        <f>SUM(F45:F48)</f>
        <v>24064740</v>
      </c>
      <c r="G49" s="218"/>
      <c r="H49" s="205">
        <f>(+F49-D49)/D49</f>
        <v>2.9490373016648148E-2</v>
      </c>
      <c r="I49" s="197"/>
      <c r="J49" s="206">
        <f>+F49/F$163</f>
        <v>4.4313164756327551E-2</v>
      </c>
      <c r="L49" s="22" t="e">
        <f>(+F49-#REF!)/#REF!</f>
        <v>#REF!</v>
      </c>
    </row>
    <row r="50" spans="1:12" x14ac:dyDescent="0.25">
      <c r="B50" s="186"/>
      <c r="C50" s="192"/>
      <c r="D50" s="218"/>
      <c r="E50" s="218"/>
      <c r="F50" s="218"/>
      <c r="G50" s="218"/>
      <c r="H50" s="197"/>
      <c r="I50" s="197"/>
      <c r="J50" s="207"/>
      <c r="L50" s="23"/>
    </row>
    <row r="51" spans="1:12" x14ac:dyDescent="0.25">
      <c r="B51" s="370" t="s">
        <v>0</v>
      </c>
      <c r="C51" s="370"/>
      <c r="D51" s="370"/>
      <c r="E51" s="370"/>
      <c r="F51" s="370"/>
      <c r="G51" s="370"/>
      <c r="H51" s="370"/>
      <c r="I51" s="370"/>
      <c r="J51" s="370"/>
    </row>
    <row r="52" spans="1:12" x14ac:dyDescent="0.25">
      <c r="B52" s="370" t="str">
        <f>+B2</f>
        <v>General Fund</v>
      </c>
      <c r="C52" s="370"/>
      <c r="D52" s="370"/>
      <c r="E52" s="370"/>
      <c r="F52" s="370"/>
      <c r="G52" s="370"/>
      <c r="H52" s="370"/>
      <c r="I52" s="370"/>
      <c r="J52" s="370"/>
    </row>
    <row r="53" spans="1:12" x14ac:dyDescent="0.25">
      <c r="B53" s="367" t="s">
        <v>47</v>
      </c>
      <c r="C53" s="367"/>
      <c r="D53" s="367"/>
      <c r="E53" s="367"/>
      <c r="F53" s="367"/>
      <c r="G53" s="367"/>
      <c r="H53" s="367"/>
      <c r="I53" s="367"/>
      <c r="J53" s="367"/>
    </row>
    <row r="54" spans="1:12" x14ac:dyDescent="0.25">
      <c r="B54" s="367"/>
      <c r="C54" s="367"/>
      <c r="D54" s="367"/>
      <c r="E54" s="367"/>
      <c r="F54" s="367"/>
      <c r="G54" s="367"/>
      <c r="H54" s="367"/>
      <c r="I54" s="367"/>
      <c r="J54" s="367"/>
    </row>
    <row r="55" spans="1:12" x14ac:dyDescent="0.25">
      <c r="B55" s="192"/>
      <c r="C55" s="192"/>
      <c r="D55" s="175" t="str">
        <f>+D5</f>
        <v>General Fund</v>
      </c>
      <c r="E55" s="175"/>
      <c r="F55" s="175" t="str">
        <f>+F5</f>
        <v>General Fund</v>
      </c>
      <c r="G55" s="176"/>
      <c r="H55" s="177" t="s">
        <v>48</v>
      </c>
      <c r="I55" s="178"/>
      <c r="J55" s="179"/>
      <c r="L55" s="24" t="s">
        <v>48</v>
      </c>
    </row>
    <row r="56" spans="1:12" x14ac:dyDescent="0.25">
      <c r="B56" s="192"/>
      <c r="C56" s="192"/>
      <c r="D56" s="175" t="str">
        <f>+D6</f>
        <v>Adopted Budget</v>
      </c>
      <c r="E56" s="355"/>
      <c r="F56" s="175" t="str">
        <f>+F6</f>
        <v>Adopted Budget</v>
      </c>
      <c r="G56" s="181"/>
      <c r="H56" s="177" t="s">
        <v>49</v>
      </c>
      <c r="I56" s="178"/>
      <c r="J56" s="182" t="s">
        <v>48</v>
      </c>
      <c r="L56" s="24" t="s">
        <v>49</v>
      </c>
    </row>
    <row r="57" spans="1:12" x14ac:dyDescent="0.25">
      <c r="A57" s="336" t="s">
        <v>242</v>
      </c>
      <c r="B57" s="192"/>
      <c r="C57" s="192"/>
      <c r="D57" s="219" t="str">
        <f>+D7</f>
        <v>FY 2019-20</v>
      </c>
      <c r="E57" s="181"/>
      <c r="F57" s="219" t="str">
        <f>+F7</f>
        <v>FY 2020-21</v>
      </c>
      <c r="G57" s="181"/>
      <c r="H57" s="184" t="s">
        <v>50</v>
      </c>
      <c r="I57" s="178"/>
      <c r="J57" s="185" t="s">
        <v>51</v>
      </c>
      <c r="L57" s="25" t="s">
        <v>50</v>
      </c>
    </row>
    <row r="58" spans="1:12" x14ac:dyDescent="0.25">
      <c r="B58" s="186" t="s">
        <v>70</v>
      </c>
      <c r="C58" s="192"/>
      <c r="D58" s="187"/>
      <c r="E58" s="187"/>
      <c r="F58" s="187"/>
      <c r="G58" s="188"/>
      <c r="H58" s="196"/>
      <c r="I58" s="197"/>
      <c r="J58" s="198"/>
      <c r="L58" s="22"/>
    </row>
    <row r="59" spans="1:12" x14ac:dyDescent="0.25">
      <c r="A59" s="336">
        <v>32</v>
      </c>
      <c r="B59" s="192" t="s">
        <v>53</v>
      </c>
      <c r="C59" s="192"/>
      <c r="D59" s="194">
        <v>235327</v>
      </c>
      <c r="E59" s="194"/>
      <c r="F59" s="194">
        <v>318012</v>
      </c>
      <c r="G59" s="204"/>
      <c r="H59" s="196">
        <f>(+F59-D59)/D59</f>
        <v>0.35136214713993719</v>
      </c>
      <c r="I59" s="197"/>
      <c r="J59" s="198">
        <f>+F59/F$163</f>
        <v>5.8559195530428489E-4</v>
      </c>
      <c r="L59" s="22" t="e">
        <f>(+F59-#REF!)/#REF!</f>
        <v>#REF!</v>
      </c>
    </row>
    <row r="60" spans="1:12" x14ac:dyDescent="0.25">
      <c r="A60" s="336">
        <v>33</v>
      </c>
      <c r="B60" s="192" t="s">
        <v>68</v>
      </c>
      <c r="C60" s="192"/>
      <c r="D60" s="200">
        <v>3000</v>
      </c>
      <c r="E60" s="200"/>
      <c r="F60" s="200">
        <v>77500</v>
      </c>
      <c r="G60" s="204"/>
      <c r="H60" s="196">
        <f>(+F60-D60)/D60</f>
        <v>24.833333333333332</v>
      </c>
      <c r="I60" s="197"/>
      <c r="J60" s="198">
        <f>+F60/F$163</f>
        <v>1.4270963528446122E-4</v>
      </c>
      <c r="L60" s="22"/>
    </row>
    <row r="61" spans="1:12" x14ac:dyDescent="0.25">
      <c r="A61" s="336">
        <v>34</v>
      </c>
      <c r="B61" s="192" t="s">
        <v>56</v>
      </c>
      <c r="C61" s="192"/>
      <c r="D61" s="200">
        <v>0</v>
      </c>
      <c r="E61" s="200"/>
      <c r="F61" s="200">
        <v>8970</v>
      </c>
      <c r="G61" s="204"/>
      <c r="H61" s="196" t="s">
        <v>244</v>
      </c>
      <c r="I61" s="197"/>
      <c r="J61" s="198"/>
      <c r="L61" s="22"/>
    </row>
    <row r="62" spans="1:12" x14ac:dyDescent="0.25">
      <c r="A62" s="336">
        <v>35</v>
      </c>
      <c r="B62" s="186" t="s">
        <v>71</v>
      </c>
      <c r="C62" s="192"/>
      <c r="D62" s="203">
        <f>SUM(D59:D60)</f>
        <v>238327</v>
      </c>
      <c r="E62" s="204"/>
      <c r="F62" s="203">
        <f>SUM(F59:F61)</f>
        <v>404482</v>
      </c>
      <c r="G62" s="204"/>
      <c r="H62" s="205">
        <f>(+F62-D62)/D62</f>
        <v>0.69717237241269348</v>
      </c>
      <c r="I62" s="197"/>
      <c r="J62" s="206">
        <f>+F62/F$163</f>
        <v>7.4481907998876699E-4</v>
      </c>
      <c r="L62" s="22" t="e">
        <f>(+F62-#REF!)/#REF!</f>
        <v>#REF!</v>
      </c>
    </row>
    <row r="63" spans="1:12" x14ac:dyDescent="0.25">
      <c r="B63" s="186"/>
      <c r="C63" s="192"/>
      <c r="D63" s="208"/>
      <c r="E63" s="208"/>
      <c r="F63" s="208"/>
      <c r="G63" s="220"/>
      <c r="H63" s="196"/>
      <c r="I63" s="197"/>
      <c r="J63" s="198"/>
      <c r="L63" s="22"/>
    </row>
    <row r="64" spans="1:12" x14ac:dyDescent="0.25">
      <c r="B64" s="186" t="s">
        <v>72</v>
      </c>
      <c r="C64" s="192"/>
      <c r="D64" s="208"/>
      <c r="E64" s="208"/>
      <c r="F64" s="208"/>
      <c r="G64" s="220"/>
      <c r="H64" s="196"/>
      <c r="I64" s="197"/>
      <c r="J64" s="198"/>
      <c r="L64" s="22"/>
    </row>
    <row r="65" spans="1:12" x14ac:dyDescent="0.25">
      <c r="A65" s="336">
        <v>36</v>
      </c>
      <c r="B65" s="192" t="s">
        <v>53</v>
      </c>
      <c r="C65" s="192"/>
      <c r="D65" s="200">
        <f>5449453-5763</f>
        <v>5443690</v>
      </c>
      <c r="E65" s="200"/>
      <c r="F65" s="200">
        <v>5573556</v>
      </c>
      <c r="G65" s="204"/>
      <c r="H65" s="196">
        <f>(+F65-D65)/D65</f>
        <v>2.3856244569400536E-2</v>
      </c>
      <c r="I65" s="197"/>
      <c r="J65" s="198">
        <f>+F65/F$163</f>
        <v>1.0263227664484136E-2</v>
      </c>
      <c r="L65" s="22" t="e">
        <f>(+F65-#REF!)/#REF!</f>
        <v>#REF!</v>
      </c>
    </row>
    <row r="66" spans="1:12" x14ac:dyDescent="0.25">
      <c r="A66" s="336">
        <v>37</v>
      </c>
      <c r="B66" s="192" t="s">
        <v>54</v>
      </c>
      <c r="C66" s="192"/>
      <c r="D66" s="200">
        <v>12300</v>
      </c>
      <c r="E66" s="200"/>
      <c r="F66" s="200">
        <v>12200</v>
      </c>
      <c r="G66" s="204"/>
      <c r="H66" s="196">
        <f>(+F66-D66)/D66</f>
        <v>-8.130081300813009E-3</v>
      </c>
      <c r="I66" s="197"/>
      <c r="J66" s="198">
        <f>+F66/F$163</f>
        <v>2.2465258715747443E-5</v>
      </c>
      <c r="L66" s="22" t="e">
        <f>(+F66-#REF!)/#REF!</f>
        <v>#REF!</v>
      </c>
    </row>
    <row r="67" spans="1:12" x14ac:dyDescent="0.25">
      <c r="A67" s="336">
        <v>38</v>
      </c>
      <c r="B67" s="192" t="s">
        <v>68</v>
      </c>
      <c r="C67" s="192"/>
      <c r="D67" s="200">
        <v>125884</v>
      </c>
      <c r="E67" s="200"/>
      <c r="F67" s="200">
        <v>126930</v>
      </c>
      <c r="G67" s="204"/>
      <c r="H67" s="196">
        <f>(+F67-D67)/D67</f>
        <v>8.3092370754027523E-3</v>
      </c>
      <c r="I67" s="197"/>
      <c r="J67" s="198">
        <f>+F67/F$163</f>
        <v>2.33730761376215E-4</v>
      </c>
      <c r="L67" s="22" t="e">
        <f>(+F67-#REF!)/#REF!</f>
        <v>#REF!</v>
      </c>
    </row>
    <row r="68" spans="1:12" x14ac:dyDescent="0.25">
      <c r="A68" s="336">
        <v>39</v>
      </c>
      <c r="B68" s="192" t="s">
        <v>56</v>
      </c>
      <c r="C68" s="192"/>
      <c r="D68" s="200">
        <v>12732</v>
      </c>
      <c r="E68" s="200"/>
      <c r="F68" s="200">
        <v>13622</v>
      </c>
      <c r="G68" s="204"/>
      <c r="H68" s="196">
        <f>(+F68-D68)/D68</f>
        <v>6.9902607602890354E-2</v>
      </c>
      <c r="I68" s="197"/>
      <c r="J68" s="198">
        <f>+F68/F$163</f>
        <v>2.5083750346386201E-5</v>
      </c>
      <c r="L68" s="22" t="e">
        <f>(+F68-#REF!)/#REF!</f>
        <v>#REF!</v>
      </c>
    </row>
    <row r="69" spans="1:12" x14ac:dyDescent="0.25">
      <c r="A69" s="336">
        <v>40</v>
      </c>
      <c r="B69" s="209" t="s">
        <v>73</v>
      </c>
      <c r="C69" s="210"/>
      <c r="D69" s="203">
        <f>SUM(D65:D68)</f>
        <v>5594606</v>
      </c>
      <c r="E69" s="204"/>
      <c r="F69" s="203">
        <f>SUM(F65:F68)</f>
        <v>5726308</v>
      </c>
      <c r="G69" s="204"/>
      <c r="H69" s="205">
        <f>(+F69-D69)/D69</f>
        <v>2.3540889206496399E-2</v>
      </c>
      <c r="I69" s="197"/>
      <c r="J69" s="206">
        <f>+F69/F$163</f>
        <v>1.0544507434922485E-2</v>
      </c>
      <c r="L69" s="22" t="e">
        <f>(+F69-#REF!)/#REF!</f>
        <v>#REF!</v>
      </c>
    </row>
    <row r="70" spans="1:12" x14ac:dyDescent="0.25">
      <c r="B70" s="192"/>
      <c r="C70" s="192"/>
      <c r="D70" s="208"/>
      <c r="E70" s="208"/>
      <c r="F70" s="208"/>
      <c r="G70" s="220"/>
      <c r="H70" s="196"/>
      <c r="I70" s="197"/>
      <c r="J70" s="198"/>
      <c r="L70" s="22"/>
    </row>
    <row r="71" spans="1:12" x14ac:dyDescent="0.25">
      <c r="B71" s="186" t="s">
        <v>74</v>
      </c>
      <c r="C71" s="192"/>
      <c r="D71" s="208"/>
      <c r="E71" s="208"/>
      <c r="F71" s="208"/>
      <c r="G71" s="220"/>
      <c r="H71" s="196"/>
      <c r="I71" s="197"/>
      <c r="J71" s="198"/>
      <c r="L71" s="22"/>
    </row>
    <row r="72" spans="1:12" x14ac:dyDescent="0.25">
      <c r="A72" s="336">
        <v>41</v>
      </c>
      <c r="B72" s="192" t="s">
        <v>53</v>
      </c>
      <c r="C72" s="192"/>
      <c r="D72" s="200">
        <v>36646</v>
      </c>
      <c r="E72" s="200"/>
      <c r="F72" s="200">
        <v>46246</v>
      </c>
      <c r="G72" s="204"/>
      <c r="H72" s="196">
        <f>(+F72-D72)/D72</f>
        <v>0.26196583528898104</v>
      </c>
      <c r="I72" s="197"/>
      <c r="J72" s="198">
        <f>+F72/F$163</f>
        <v>8.5158061849873462E-5</v>
      </c>
      <c r="L72" s="22" t="e">
        <f>(+F72-#REF!)/#REF!</f>
        <v>#REF!</v>
      </c>
    </row>
    <row r="73" spans="1:12" x14ac:dyDescent="0.25">
      <c r="A73" s="336">
        <v>42</v>
      </c>
      <c r="B73" s="192" t="s">
        <v>54</v>
      </c>
      <c r="C73" s="192"/>
      <c r="D73" s="200">
        <v>16053538</v>
      </c>
      <c r="E73" s="200"/>
      <c r="F73" s="200">
        <f>15251312+172425</f>
        <v>15423737</v>
      </c>
      <c r="G73" s="204"/>
      <c r="H73" s="196">
        <f>(+F73-D73)/D73</f>
        <v>-3.9231289700750079E-2</v>
      </c>
      <c r="I73" s="197"/>
      <c r="J73" s="198">
        <f>+F73/F$163</f>
        <v>2.8401495251528387E-2</v>
      </c>
      <c r="L73" s="22" t="e">
        <f>(+F73-#REF!)/#REF!</f>
        <v>#REF!</v>
      </c>
    </row>
    <row r="74" spans="1:12" x14ac:dyDescent="0.25">
      <c r="A74" s="336">
        <v>43</v>
      </c>
      <c r="B74" s="209" t="s">
        <v>75</v>
      </c>
      <c r="C74" s="210"/>
      <c r="D74" s="203">
        <f>SUM(D72:D73)</f>
        <v>16090184</v>
      </c>
      <c r="E74" s="204"/>
      <c r="F74" s="203">
        <f>SUM(F72:F73)</f>
        <v>15469983</v>
      </c>
      <c r="G74" s="204"/>
      <c r="H74" s="205">
        <f>(+F74-D74)/D74</f>
        <v>-3.8545301905807912E-2</v>
      </c>
      <c r="I74" s="197"/>
      <c r="J74" s="206">
        <f>+F74/F$163</f>
        <v>2.8486653313378262E-2</v>
      </c>
      <c r="L74" s="22" t="e">
        <f>(+F74-#REF!)/#REF!</f>
        <v>#REF!</v>
      </c>
    </row>
    <row r="75" spans="1:12" x14ac:dyDescent="0.25">
      <c r="B75" s="209"/>
      <c r="C75" s="210"/>
      <c r="D75" s="204"/>
      <c r="E75" s="204"/>
      <c r="F75" s="204"/>
      <c r="G75" s="204"/>
      <c r="H75" s="197"/>
      <c r="I75" s="197"/>
      <c r="J75" s="207"/>
      <c r="L75" s="22"/>
    </row>
    <row r="76" spans="1:12" hidden="1" x14ac:dyDescent="0.25">
      <c r="B76" s="186" t="s">
        <v>97</v>
      </c>
      <c r="C76" s="192"/>
      <c r="D76" s="208"/>
      <c r="E76" s="208"/>
      <c r="F76" s="208"/>
      <c r="G76" s="220"/>
      <c r="H76" s="196"/>
      <c r="I76" s="197"/>
      <c r="J76" s="198"/>
      <c r="L76" s="22"/>
    </row>
    <row r="77" spans="1:12" hidden="1" x14ac:dyDescent="0.25">
      <c r="B77" s="192" t="s">
        <v>68</v>
      </c>
      <c r="C77" s="192"/>
      <c r="D77" s="200">
        <v>0</v>
      </c>
      <c r="E77" s="200"/>
      <c r="F77" s="200">
        <v>0</v>
      </c>
      <c r="G77" s="204"/>
      <c r="H77" s="196" t="str">
        <f>IF(D77=0,"n/a",(+F77-D77)/D77)</f>
        <v>n/a</v>
      </c>
      <c r="I77" s="197"/>
      <c r="J77" s="198">
        <f>+F77/F$163</f>
        <v>0</v>
      </c>
      <c r="L77" s="22" t="e">
        <f>(+F77-#REF!)/#REF!</f>
        <v>#REF!</v>
      </c>
    </row>
    <row r="78" spans="1:12" hidden="1" x14ac:dyDescent="0.25">
      <c r="B78" s="209" t="s">
        <v>96</v>
      </c>
      <c r="C78" s="210"/>
      <c r="D78" s="203">
        <f>SUM(D77:D77)</f>
        <v>0</v>
      </c>
      <c r="E78" s="204"/>
      <c r="F78" s="203">
        <f>SUM(F77:F77)</f>
        <v>0</v>
      </c>
      <c r="G78" s="204"/>
      <c r="H78" s="205" t="str">
        <f>IF(D78=0,"n/a",(+F78-D78)/D78)</f>
        <v>n/a</v>
      </c>
      <c r="I78" s="197"/>
      <c r="J78" s="206">
        <f>+F78/F$163</f>
        <v>0</v>
      </c>
      <c r="L78" s="22" t="e">
        <f>(+F78-#REF!)/#REF!</f>
        <v>#REF!</v>
      </c>
    </row>
    <row r="79" spans="1:12" hidden="1" x14ac:dyDescent="0.25">
      <c r="B79" s="209"/>
      <c r="C79" s="210"/>
      <c r="D79" s="204"/>
      <c r="E79" s="204"/>
      <c r="F79" s="204"/>
      <c r="G79" s="204"/>
      <c r="H79" s="197"/>
      <c r="I79" s="197"/>
      <c r="J79" s="207"/>
      <c r="L79" s="23"/>
    </row>
    <row r="80" spans="1:12" x14ac:dyDescent="0.25">
      <c r="B80" s="186" t="s">
        <v>97</v>
      </c>
      <c r="C80" s="192"/>
      <c r="D80" s="208"/>
      <c r="E80" s="208"/>
      <c r="F80" s="208"/>
      <c r="G80" s="220"/>
      <c r="H80" s="196"/>
      <c r="I80" s="197"/>
      <c r="J80" s="198"/>
      <c r="L80" s="22"/>
    </row>
    <row r="81" spans="1:12" x14ac:dyDescent="0.25">
      <c r="A81" s="336">
        <v>44</v>
      </c>
      <c r="B81" s="192" t="s">
        <v>53</v>
      </c>
      <c r="C81" s="192"/>
      <c r="D81" s="200">
        <v>36646</v>
      </c>
      <c r="E81" s="200"/>
      <c r="F81" s="200">
        <v>48777</v>
      </c>
      <c r="G81" s="204"/>
      <c r="H81" s="196">
        <f>(+F81-D81)/D81</f>
        <v>0.33103203623860722</v>
      </c>
      <c r="I81" s="197"/>
      <c r="J81" s="198">
        <f>+F81/F$163</f>
        <v>8.9818682326066646E-5</v>
      </c>
      <c r="L81" s="22" t="e">
        <f>(+F81-#REF!)/#REF!</f>
        <v>#REF!</v>
      </c>
    </row>
    <row r="82" spans="1:12" x14ac:dyDescent="0.25">
      <c r="A82" s="336">
        <v>45</v>
      </c>
      <c r="B82" s="209" t="s">
        <v>96</v>
      </c>
      <c r="C82" s="210"/>
      <c r="D82" s="203">
        <f>SUM(D81)</f>
        <v>36646</v>
      </c>
      <c r="E82" s="204"/>
      <c r="F82" s="203">
        <f>SUM(F81)</f>
        <v>48777</v>
      </c>
      <c r="G82" s="204"/>
      <c r="H82" s="205">
        <f>(+F82-D82)/D82</f>
        <v>0.33103203623860722</v>
      </c>
      <c r="I82" s="197"/>
      <c r="J82" s="206">
        <f>+F82/F$163</f>
        <v>8.9818682326066646E-5</v>
      </c>
      <c r="L82" s="22" t="e">
        <f>(+F82-#REF!)/#REF!</f>
        <v>#REF!</v>
      </c>
    </row>
    <row r="83" spans="1:12" x14ac:dyDescent="0.25">
      <c r="B83" s="209"/>
      <c r="C83" s="210"/>
      <c r="D83" s="204"/>
      <c r="E83" s="204"/>
      <c r="F83" s="204"/>
      <c r="G83" s="204"/>
      <c r="H83" s="197"/>
      <c r="I83" s="197"/>
      <c r="J83" s="207"/>
      <c r="L83" s="22"/>
    </row>
    <row r="84" spans="1:12" x14ac:dyDescent="0.25">
      <c r="B84" s="186" t="s">
        <v>76</v>
      </c>
      <c r="C84" s="192"/>
      <c r="D84" s="208"/>
      <c r="E84" s="208"/>
      <c r="F84" s="208"/>
      <c r="G84" s="220"/>
      <c r="H84" s="196"/>
      <c r="I84" s="197"/>
      <c r="J84" s="198"/>
      <c r="L84" s="22"/>
    </row>
    <row r="85" spans="1:12" x14ac:dyDescent="0.25">
      <c r="A85" s="336">
        <v>46</v>
      </c>
      <c r="B85" s="192" t="s">
        <v>53</v>
      </c>
      <c r="C85" s="192"/>
      <c r="D85" s="200">
        <f>7051105-26</f>
        <v>7051079</v>
      </c>
      <c r="E85" s="200"/>
      <c r="F85" s="200">
        <v>7048549</v>
      </c>
      <c r="G85" s="204"/>
      <c r="H85" s="196">
        <f t="shared" ref="H85:H90" si="3">(+F85-D85)/D85</f>
        <v>-3.5881033243280924E-4</v>
      </c>
      <c r="I85" s="197"/>
      <c r="J85" s="198">
        <f t="shared" ref="J85:J90" si="4">+F85/F$163</f>
        <v>1.2979301381608436E-2</v>
      </c>
      <c r="L85" s="22" t="e">
        <f>(+F85-#REF!)/#REF!</f>
        <v>#REF!</v>
      </c>
    </row>
    <row r="86" spans="1:12" x14ac:dyDescent="0.25">
      <c r="A86" s="336">
        <v>47</v>
      </c>
      <c r="B86" s="192" t="s">
        <v>54</v>
      </c>
      <c r="C86" s="192"/>
      <c r="D86" s="200">
        <v>620570</v>
      </c>
      <c r="E86" s="200"/>
      <c r="F86" s="200">
        <v>697468</v>
      </c>
      <c r="G86" s="204"/>
      <c r="H86" s="196">
        <f t="shared" si="3"/>
        <v>0.1239151103018193</v>
      </c>
      <c r="I86" s="197"/>
      <c r="J86" s="198">
        <f t="shared" si="4"/>
        <v>1.2843277922913884E-3</v>
      </c>
      <c r="L86" s="22" t="e">
        <f>(+F86-#REF!)/#REF!</f>
        <v>#REF!</v>
      </c>
    </row>
    <row r="87" spans="1:12" x14ac:dyDescent="0.25">
      <c r="A87" s="336">
        <v>48</v>
      </c>
      <c r="B87" s="192" t="s">
        <v>68</v>
      </c>
      <c r="C87" s="192"/>
      <c r="D87" s="200">
        <v>2569806</v>
      </c>
      <c r="E87" s="200"/>
      <c r="F87" s="200">
        <v>2621306</v>
      </c>
      <c r="G87" s="204"/>
      <c r="H87" s="196">
        <f t="shared" si="3"/>
        <v>2.0040423284870532E-2</v>
      </c>
      <c r="I87" s="197"/>
      <c r="J87" s="198">
        <f t="shared" si="4"/>
        <v>4.8269112674705792E-3</v>
      </c>
      <c r="L87" s="22" t="e">
        <f>(+F87-#REF!)/#REF!</f>
        <v>#REF!</v>
      </c>
    </row>
    <row r="88" spans="1:12" x14ac:dyDescent="0.25">
      <c r="A88" s="336">
        <v>49</v>
      </c>
      <c r="B88" s="192" t="s">
        <v>56</v>
      </c>
      <c r="C88" s="192"/>
      <c r="D88" s="200">
        <f>1969672+5000</f>
        <v>1974672</v>
      </c>
      <c r="E88" s="200"/>
      <c r="F88" s="200">
        <v>2051544</v>
      </c>
      <c r="G88" s="204"/>
      <c r="H88" s="196">
        <f t="shared" si="3"/>
        <v>3.8928996815673689E-2</v>
      </c>
      <c r="I88" s="197"/>
      <c r="J88" s="198">
        <f t="shared" si="4"/>
        <v>3.7777431743228995E-3</v>
      </c>
      <c r="L88" s="22" t="e">
        <f>(+F88-#REF!)/#REF!</f>
        <v>#REF!</v>
      </c>
    </row>
    <row r="89" spans="1:12" hidden="1" x14ac:dyDescent="0.25">
      <c r="B89" s="192" t="s">
        <v>57</v>
      </c>
      <c r="C89" s="192"/>
      <c r="D89" s="200">
        <v>0</v>
      </c>
      <c r="E89" s="200"/>
      <c r="F89" s="200">
        <v>0</v>
      </c>
      <c r="G89" s="204"/>
      <c r="H89" s="196" t="e">
        <f t="shared" si="3"/>
        <v>#DIV/0!</v>
      </c>
      <c r="I89" s="197"/>
      <c r="J89" s="198">
        <f t="shared" si="4"/>
        <v>0</v>
      </c>
      <c r="L89" s="22" t="e">
        <f>(+F89-#REF!)/#REF!</f>
        <v>#REF!</v>
      </c>
    </row>
    <row r="90" spans="1:12" x14ac:dyDescent="0.25">
      <c r="A90" s="336">
        <v>50</v>
      </c>
      <c r="B90" s="209" t="s">
        <v>77</v>
      </c>
      <c r="C90" s="210"/>
      <c r="D90" s="203">
        <f>SUM(D85:D89)</f>
        <v>12216127</v>
      </c>
      <c r="E90" s="204"/>
      <c r="F90" s="203">
        <f>SUM(F85:F89)</f>
        <v>12418867</v>
      </c>
      <c r="G90" s="204"/>
      <c r="H90" s="205">
        <f t="shared" si="3"/>
        <v>1.6596094654222241E-2</v>
      </c>
      <c r="I90" s="197"/>
      <c r="J90" s="206">
        <f t="shared" si="4"/>
        <v>2.2868283615693302E-2</v>
      </c>
      <c r="L90" s="22" t="e">
        <f>(+F90-#REF!)/#REF!</f>
        <v>#REF!</v>
      </c>
    </row>
    <row r="91" spans="1:12" x14ac:dyDescent="0.25">
      <c r="B91" s="192"/>
      <c r="C91" s="192"/>
      <c r="D91" s="208"/>
      <c r="E91" s="208"/>
      <c r="F91" s="208"/>
      <c r="G91" s="220"/>
      <c r="H91" s="196"/>
      <c r="I91" s="197"/>
      <c r="J91" s="198"/>
      <c r="L91" s="22"/>
    </row>
    <row r="92" spans="1:12" x14ac:dyDescent="0.25">
      <c r="B92" s="186" t="s">
        <v>78</v>
      </c>
      <c r="C92" s="192"/>
      <c r="D92" s="208"/>
      <c r="E92" s="208"/>
      <c r="F92" s="208"/>
      <c r="G92" s="220"/>
      <c r="H92" s="196"/>
      <c r="I92" s="197"/>
      <c r="J92" s="198"/>
      <c r="L92" s="22"/>
    </row>
    <row r="93" spans="1:12" x14ac:dyDescent="0.25">
      <c r="A93" s="336">
        <v>51</v>
      </c>
      <c r="B93" s="192" t="s">
        <v>53</v>
      </c>
      <c r="C93" s="192"/>
      <c r="D93" s="200">
        <f>8057757-769</f>
        <v>8056988</v>
      </c>
      <c r="E93" s="200"/>
      <c r="F93" s="200">
        <v>8184239</v>
      </c>
      <c r="G93" s="204"/>
      <c r="H93" s="196">
        <f>(+F93-D93)/D93</f>
        <v>1.5793867385678121E-2</v>
      </c>
      <c r="I93" s="197"/>
      <c r="J93" s="198">
        <f>+F93/F$163</f>
        <v>1.5070577584140175E-2</v>
      </c>
      <c r="L93" s="22" t="e">
        <f>(+F93-#REF!)/#REF!</f>
        <v>#REF!</v>
      </c>
    </row>
    <row r="94" spans="1:12" x14ac:dyDescent="0.25">
      <c r="A94" s="336">
        <v>52</v>
      </c>
      <c r="B94" s="192" t="s">
        <v>54</v>
      </c>
      <c r="C94" s="192"/>
      <c r="D94" s="200">
        <f>1601993+200000</f>
        <v>1801993</v>
      </c>
      <c r="E94" s="200"/>
      <c r="F94" s="200">
        <v>2085073</v>
      </c>
      <c r="G94" s="204"/>
      <c r="H94" s="196">
        <f>(+F94-D94)/D94</f>
        <v>0.15709273010494493</v>
      </c>
      <c r="I94" s="197"/>
      <c r="J94" s="198">
        <f>+F94/F$163</f>
        <v>3.8394839660835793E-3</v>
      </c>
      <c r="L94" s="22" t="e">
        <f>(+F94-#REF!)/#REF!</f>
        <v>#REF!</v>
      </c>
    </row>
    <row r="95" spans="1:12" x14ac:dyDescent="0.25">
      <c r="A95" s="336">
        <v>53</v>
      </c>
      <c r="B95" s="192" t="s">
        <v>68</v>
      </c>
      <c r="C95" s="192"/>
      <c r="D95" s="200">
        <v>364459</v>
      </c>
      <c r="E95" s="200"/>
      <c r="F95" s="200">
        <v>344184</v>
      </c>
      <c r="G95" s="204"/>
      <c r="H95" s="196">
        <f>(+F95-D95)/D95</f>
        <v>-5.5630400127311991E-2</v>
      </c>
      <c r="I95" s="197"/>
      <c r="J95" s="198">
        <f>+F95/F$163</f>
        <v>6.3378545949350964E-4</v>
      </c>
      <c r="L95" s="22" t="e">
        <f>(+F95-#REF!)/#REF!</f>
        <v>#REF!</v>
      </c>
    </row>
    <row r="96" spans="1:12" x14ac:dyDescent="0.25">
      <c r="A96" s="336">
        <v>54</v>
      </c>
      <c r="B96" s="192" t="s">
        <v>56</v>
      </c>
      <c r="C96" s="192"/>
      <c r="D96" s="200">
        <f>925224+5000</f>
        <v>930224</v>
      </c>
      <c r="E96" s="200"/>
      <c r="F96" s="200">
        <v>952024</v>
      </c>
      <c r="G96" s="204"/>
      <c r="H96" s="196">
        <f>(+F96-D96)/D96</f>
        <v>2.3435215603983556E-2</v>
      </c>
      <c r="I96" s="197"/>
      <c r="J96" s="198">
        <f>+F96/F$163</f>
        <v>1.7530709396394051E-3</v>
      </c>
      <c r="L96" s="22" t="e">
        <f>(+F96-#REF!)/#REF!</f>
        <v>#REF!</v>
      </c>
    </row>
    <row r="97" spans="1:12" x14ac:dyDescent="0.25">
      <c r="A97" s="336">
        <v>55</v>
      </c>
      <c r="B97" s="209" t="s">
        <v>79</v>
      </c>
      <c r="C97" s="210"/>
      <c r="D97" s="203">
        <f>SUM(D93:D96)</f>
        <v>11153664</v>
      </c>
      <c r="E97" s="204"/>
      <c r="F97" s="203">
        <f>SUM(F93:F96)</f>
        <v>11565520</v>
      </c>
      <c r="G97" s="204"/>
      <c r="H97" s="205">
        <f>(+F97-D97)/D97</f>
        <v>3.6925623723289495E-2</v>
      </c>
      <c r="I97" s="197"/>
      <c r="J97" s="206">
        <f>+F97/F$163</f>
        <v>2.1296917949356668E-2</v>
      </c>
      <c r="L97" s="22" t="e">
        <f>(+F97-#REF!)/#REF!</f>
        <v>#REF!</v>
      </c>
    </row>
    <row r="98" spans="1:12" x14ac:dyDescent="0.25">
      <c r="B98" s="192"/>
      <c r="C98" s="192"/>
      <c r="D98" s="211"/>
      <c r="E98" s="211"/>
      <c r="F98" s="211"/>
      <c r="G98" s="214"/>
      <c r="H98" s="221"/>
      <c r="I98" s="222"/>
      <c r="J98" s="223"/>
      <c r="L98" s="28"/>
    </row>
    <row r="99" spans="1:12" x14ac:dyDescent="0.25">
      <c r="B99" s="186" t="s">
        <v>189</v>
      </c>
      <c r="C99" s="192"/>
      <c r="D99" s="208"/>
      <c r="E99" s="208"/>
      <c r="F99" s="208"/>
      <c r="G99" s="220"/>
      <c r="H99" s="215"/>
      <c r="I99" s="216"/>
      <c r="J99" s="217"/>
      <c r="L99" s="27"/>
    </row>
    <row r="100" spans="1:12" x14ac:dyDescent="0.25">
      <c r="A100" s="336">
        <v>56</v>
      </c>
      <c r="B100" s="192" t="s">
        <v>80</v>
      </c>
      <c r="C100" s="192"/>
      <c r="D100" s="200">
        <f>7768775-40000</f>
        <v>7728775</v>
      </c>
      <c r="E100" s="200"/>
      <c r="F100" s="200">
        <f>7539298+37596</f>
        <v>7576894</v>
      </c>
      <c r="G100" s="204"/>
      <c r="H100" s="196">
        <f t="shared" ref="H100:H105" si="5">(+F100-D100)/D100</f>
        <v>-1.9651367778205472E-2</v>
      </c>
      <c r="I100" s="197"/>
      <c r="J100" s="198">
        <f t="shared" ref="J100:J105" si="6">+F100/F$163</f>
        <v>1.3952203604245452E-2</v>
      </c>
      <c r="L100" s="22" t="e">
        <f>(+F100-#REF!)/#REF!</f>
        <v>#REF!</v>
      </c>
    </row>
    <row r="101" spans="1:12" x14ac:dyDescent="0.25">
      <c r="A101" s="336">
        <v>57</v>
      </c>
      <c r="B101" s="192" t="s">
        <v>54</v>
      </c>
      <c r="C101" s="192"/>
      <c r="D101" s="200">
        <v>29791386</v>
      </c>
      <c r="E101" s="200"/>
      <c r="F101" s="200">
        <f>28927234+1812404</f>
        <v>30739638</v>
      </c>
      <c r="G101" s="204"/>
      <c r="H101" s="196">
        <f t="shared" si="5"/>
        <v>3.1829737629528211E-2</v>
      </c>
      <c r="I101" s="197"/>
      <c r="J101" s="198">
        <f t="shared" si="6"/>
        <v>5.6604419712985354E-2</v>
      </c>
      <c r="L101" s="22" t="e">
        <f>(+F101-#REF!)/#REF!</f>
        <v>#REF!</v>
      </c>
    </row>
    <row r="102" spans="1:12" x14ac:dyDescent="0.25">
      <c r="A102" s="336">
        <v>58</v>
      </c>
      <c r="B102" s="192" t="s">
        <v>68</v>
      </c>
      <c r="C102" s="192"/>
      <c r="D102" s="200">
        <v>2312522</v>
      </c>
      <c r="E102" s="200"/>
      <c r="F102" s="200">
        <v>2302672</v>
      </c>
      <c r="G102" s="204"/>
      <c r="H102" s="196">
        <f t="shared" si="5"/>
        <v>-4.2594189374198389E-3</v>
      </c>
      <c r="I102" s="197"/>
      <c r="J102" s="198">
        <f t="shared" si="6"/>
        <v>4.2401739522547211E-3</v>
      </c>
      <c r="L102" s="22" t="e">
        <f>(+F102-#REF!)/#REF!</f>
        <v>#REF!</v>
      </c>
    </row>
    <row r="103" spans="1:12" x14ac:dyDescent="0.25">
      <c r="A103" s="336">
        <v>59</v>
      </c>
      <c r="B103" s="192" t="s">
        <v>56</v>
      </c>
      <c r="C103" s="192"/>
      <c r="D103" s="200">
        <v>3382860</v>
      </c>
      <c r="E103" s="200"/>
      <c r="F103" s="200">
        <v>3481738</v>
      </c>
      <c r="G103" s="204"/>
      <c r="H103" s="196">
        <f t="shared" si="5"/>
        <v>2.9229113826761969E-2</v>
      </c>
      <c r="I103" s="197"/>
      <c r="J103" s="198">
        <f t="shared" si="6"/>
        <v>6.4113233565941865E-3</v>
      </c>
      <c r="L103" s="22" t="e">
        <f>(+F103-#REF!)/#REF!</f>
        <v>#REF!</v>
      </c>
    </row>
    <row r="104" spans="1:12" x14ac:dyDescent="0.25">
      <c r="A104" s="336">
        <v>60</v>
      </c>
      <c r="B104" s="192" t="s">
        <v>57</v>
      </c>
      <c r="C104" s="192"/>
      <c r="D104" s="200">
        <v>210000</v>
      </c>
      <c r="E104" s="200"/>
      <c r="F104" s="200">
        <v>210000</v>
      </c>
      <c r="G104" s="204"/>
      <c r="H104" s="196">
        <f t="shared" si="5"/>
        <v>0</v>
      </c>
      <c r="I104" s="197"/>
      <c r="J104" s="198">
        <f t="shared" si="6"/>
        <v>3.8669707625466911E-4</v>
      </c>
      <c r="L104" s="22" t="e">
        <f>(+F104-#REF!)/#REF!</f>
        <v>#REF!</v>
      </c>
    </row>
    <row r="105" spans="1:12" x14ac:dyDescent="0.25">
      <c r="A105" s="336">
        <v>61</v>
      </c>
      <c r="B105" s="209" t="s">
        <v>81</v>
      </c>
      <c r="C105" s="210"/>
      <c r="D105" s="203">
        <f>SUM(D100:D104)</f>
        <v>43425543</v>
      </c>
      <c r="E105" s="204"/>
      <c r="F105" s="203">
        <f>SUM(F100:F104)</f>
        <v>44310942</v>
      </c>
      <c r="G105" s="204"/>
      <c r="H105" s="205">
        <f t="shared" si="5"/>
        <v>2.0388898764029273E-2</v>
      </c>
      <c r="I105" s="197"/>
      <c r="J105" s="206">
        <f t="shared" si="6"/>
        <v>8.1594817702334385E-2</v>
      </c>
      <c r="L105" s="22" t="e">
        <f>(+F105-#REF!)/#REF!</f>
        <v>#REF!</v>
      </c>
    </row>
    <row r="106" spans="1:12" x14ac:dyDescent="0.25">
      <c r="B106" s="192"/>
      <c r="C106" s="192"/>
      <c r="D106" s="187"/>
      <c r="E106" s="187"/>
      <c r="F106" s="187"/>
      <c r="G106" s="188"/>
      <c r="H106" s="196"/>
      <c r="I106" s="197"/>
      <c r="J106" s="198"/>
      <c r="L106" s="22"/>
    </row>
    <row r="107" spans="1:12" x14ac:dyDescent="0.25">
      <c r="B107" s="370" t="s">
        <v>0</v>
      </c>
      <c r="C107" s="370"/>
      <c r="D107" s="370"/>
      <c r="E107" s="370"/>
      <c r="F107" s="370"/>
      <c r="G107" s="370"/>
      <c r="H107" s="370"/>
      <c r="I107" s="370"/>
      <c r="J107" s="370"/>
    </row>
    <row r="108" spans="1:12" x14ac:dyDescent="0.25">
      <c r="B108" s="370" t="str">
        <f>+B2</f>
        <v>General Fund</v>
      </c>
      <c r="C108" s="370"/>
      <c r="D108" s="370"/>
      <c r="E108" s="370"/>
      <c r="F108" s="370"/>
      <c r="G108" s="370"/>
      <c r="H108" s="370"/>
      <c r="I108" s="370"/>
      <c r="J108" s="370"/>
    </row>
    <row r="109" spans="1:12" x14ac:dyDescent="0.25">
      <c r="B109" s="367" t="s">
        <v>47</v>
      </c>
      <c r="C109" s="367"/>
      <c r="D109" s="367"/>
      <c r="E109" s="367"/>
      <c r="F109" s="367"/>
      <c r="G109" s="367"/>
      <c r="H109" s="367"/>
      <c r="I109" s="367"/>
      <c r="J109" s="367"/>
    </row>
    <row r="110" spans="1:12" x14ac:dyDescent="0.25">
      <c r="B110" s="367"/>
      <c r="C110" s="367"/>
      <c r="D110" s="367"/>
      <c r="E110" s="367"/>
      <c r="F110" s="367"/>
      <c r="G110" s="367"/>
      <c r="H110" s="367"/>
      <c r="I110" s="367"/>
      <c r="J110" s="367"/>
    </row>
    <row r="111" spans="1:12" x14ac:dyDescent="0.25">
      <c r="B111" s="192"/>
      <c r="C111" s="192"/>
      <c r="D111" s="175" t="str">
        <f>+D5</f>
        <v>General Fund</v>
      </c>
      <c r="E111" s="175"/>
      <c r="F111" s="175" t="str">
        <f>+F5</f>
        <v>General Fund</v>
      </c>
      <c r="G111" s="176"/>
      <c r="H111" s="177" t="s">
        <v>48</v>
      </c>
      <c r="I111" s="178"/>
      <c r="J111" s="179"/>
      <c r="L111" s="24" t="s">
        <v>48</v>
      </c>
    </row>
    <row r="112" spans="1:12" x14ac:dyDescent="0.25">
      <c r="B112" s="192"/>
      <c r="C112" s="192"/>
      <c r="D112" s="175" t="str">
        <f>+D6</f>
        <v>Adopted Budget</v>
      </c>
      <c r="E112" s="355"/>
      <c r="F112" s="175" t="str">
        <f>+F6</f>
        <v>Adopted Budget</v>
      </c>
      <c r="G112" s="181"/>
      <c r="H112" s="177" t="s">
        <v>49</v>
      </c>
      <c r="I112" s="178"/>
      <c r="J112" s="182" t="s">
        <v>48</v>
      </c>
      <c r="L112" s="24" t="s">
        <v>49</v>
      </c>
    </row>
    <row r="113" spans="1:12" x14ac:dyDescent="0.25">
      <c r="A113" s="336" t="s">
        <v>238</v>
      </c>
      <c r="B113" s="192"/>
      <c r="C113" s="192"/>
      <c r="D113" s="219" t="str">
        <f>+D7</f>
        <v>FY 2019-20</v>
      </c>
      <c r="E113" s="181"/>
      <c r="F113" s="219" t="str">
        <f>+F7</f>
        <v>FY 2020-21</v>
      </c>
      <c r="G113" s="181"/>
      <c r="H113" s="184" t="s">
        <v>50</v>
      </c>
      <c r="I113" s="178"/>
      <c r="J113" s="185" t="s">
        <v>51</v>
      </c>
      <c r="L113" s="25" t="s">
        <v>50</v>
      </c>
    </row>
    <row r="114" spans="1:12" x14ac:dyDescent="0.25">
      <c r="B114" s="186" t="s">
        <v>82</v>
      </c>
      <c r="C114" s="192"/>
      <c r="D114" s="187"/>
      <c r="E114" s="187"/>
      <c r="F114" s="187"/>
      <c r="G114" s="188"/>
      <c r="H114" s="196"/>
      <c r="I114" s="197"/>
      <c r="J114" s="198"/>
      <c r="L114" s="22"/>
    </row>
    <row r="115" spans="1:12" x14ac:dyDescent="0.25">
      <c r="A115" s="336">
        <v>62</v>
      </c>
      <c r="B115" s="192" t="s">
        <v>80</v>
      </c>
      <c r="C115" s="192"/>
      <c r="D115" s="194">
        <v>1159053</v>
      </c>
      <c r="E115" s="194"/>
      <c r="F115" s="194">
        <v>1231935</v>
      </c>
      <c r="G115" s="204"/>
      <c r="H115" s="196">
        <f>(+F115-D115)/D115</f>
        <v>6.2880644802265295E-2</v>
      </c>
      <c r="I115" s="197"/>
      <c r="J115" s="198">
        <f t="shared" ref="J115:J120" si="7">+F115/F$163</f>
        <v>2.2685031554085513E-3</v>
      </c>
      <c r="L115" s="22" t="e">
        <f>(+F115-#REF!)/#REF!</f>
        <v>#REF!</v>
      </c>
    </row>
    <row r="116" spans="1:12" x14ac:dyDescent="0.25">
      <c r="A116" s="336">
        <v>63</v>
      </c>
      <c r="B116" s="192" t="s">
        <v>54</v>
      </c>
      <c r="C116" s="192"/>
      <c r="D116" s="200">
        <v>2133050</v>
      </c>
      <c r="E116" s="200"/>
      <c r="F116" s="200">
        <v>2184500</v>
      </c>
      <c r="G116" s="204"/>
      <c r="H116" s="196">
        <f>(+F116-D116)/D116</f>
        <v>2.4120390989428284E-2</v>
      </c>
      <c r="I116" s="197"/>
      <c r="J116" s="198">
        <f t="shared" si="7"/>
        <v>4.0225703003729744E-3</v>
      </c>
      <c r="L116" s="22" t="e">
        <f>(+F116-#REF!)/#REF!</f>
        <v>#REF!</v>
      </c>
    </row>
    <row r="117" spans="1:12" x14ac:dyDescent="0.25">
      <c r="A117" s="336">
        <v>64</v>
      </c>
      <c r="B117" s="192" t="s">
        <v>68</v>
      </c>
      <c r="C117" s="192"/>
      <c r="D117" s="200">
        <v>63336</v>
      </c>
      <c r="E117" s="200"/>
      <c r="F117" s="200">
        <v>63548</v>
      </c>
      <c r="G117" s="204"/>
      <c r="H117" s="196">
        <f>(+F117-D117)/D117</f>
        <v>3.3472274851585196E-3</v>
      </c>
      <c r="I117" s="197"/>
      <c r="J117" s="198">
        <f t="shared" si="7"/>
        <v>1.1701821810396053E-4</v>
      </c>
      <c r="L117" s="22" t="e">
        <f>(+F117-#REF!)/#REF!</f>
        <v>#REF!</v>
      </c>
    </row>
    <row r="118" spans="1:12" x14ac:dyDescent="0.25">
      <c r="A118" s="336">
        <v>65</v>
      </c>
      <c r="B118" s="192" t="s">
        <v>56</v>
      </c>
      <c r="C118" s="192"/>
      <c r="D118" s="200">
        <v>13200</v>
      </c>
      <c r="E118" s="200"/>
      <c r="F118" s="200">
        <v>13200</v>
      </c>
      <c r="G118" s="204"/>
      <c r="H118" s="196">
        <f>(+F118-D118)/D118</f>
        <v>0</v>
      </c>
      <c r="I118" s="197"/>
      <c r="J118" s="198">
        <f t="shared" si="7"/>
        <v>2.4306673364579201E-5</v>
      </c>
      <c r="L118" s="22"/>
    </row>
    <row r="119" spans="1:12" x14ac:dyDescent="0.25">
      <c r="A119" s="336">
        <v>66</v>
      </c>
      <c r="B119" s="192" t="s">
        <v>57</v>
      </c>
      <c r="C119" s="192"/>
      <c r="D119" s="289">
        <v>0</v>
      </c>
      <c r="E119" s="289"/>
      <c r="F119" s="289">
        <v>0</v>
      </c>
      <c r="G119" s="204"/>
      <c r="H119" s="196" t="str">
        <f>IF(D119=0,"n/a",(+F119-D119)/D119)</f>
        <v>n/a</v>
      </c>
      <c r="I119" s="197"/>
      <c r="J119" s="198">
        <f t="shared" si="7"/>
        <v>0</v>
      </c>
      <c r="L119" s="22"/>
    </row>
    <row r="120" spans="1:12" x14ac:dyDescent="0.25">
      <c r="A120" s="336">
        <v>67</v>
      </c>
      <c r="B120" s="209" t="s">
        <v>83</v>
      </c>
      <c r="C120" s="210"/>
      <c r="D120" s="203">
        <f>SUM(D115:D119)</f>
        <v>3368639</v>
      </c>
      <c r="E120" s="204"/>
      <c r="F120" s="203">
        <f>SUM(F115:F119)</f>
        <v>3493183</v>
      </c>
      <c r="G120" s="204"/>
      <c r="H120" s="205">
        <f>(+F120-D120)/D120</f>
        <v>3.6971607821437678E-2</v>
      </c>
      <c r="I120" s="197"/>
      <c r="J120" s="206">
        <f t="shared" si="7"/>
        <v>6.4323983472500653E-3</v>
      </c>
      <c r="L120" s="22" t="e">
        <f>(+F120-#REF!)/#REF!</f>
        <v>#REF!</v>
      </c>
    </row>
    <row r="121" spans="1:12" x14ac:dyDescent="0.25">
      <c r="B121" s="192"/>
      <c r="C121" s="210"/>
      <c r="D121" s="208"/>
      <c r="E121" s="208"/>
      <c r="F121" s="208"/>
      <c r="G121" s="220"/>
      <c r="H121" s="196"/>
      <c r="I121" s="197"/>
      <c r="J121" s="198"/>
      <c r="L121" s="22"/>
    </row>
    <row r="122" spans="1:12" x14ac:dyDescent="0.25">
      <c r="B122" s="186" t="s">
        <v>84</v>
      </c>
      <c r="C122" s="210"/>
      <c r="D122" s="208"/>
      <c r="E122" s="208"/>
      <c r="F122" s="208"/>
      <c r="G122" s="220"/>
      <c r="H122" s="196"/>
      <c r="I122" s="197"/>
      <c r="J122" s="198"/>
      <c r="L122" s="22"/>
    </row>
    <row r="123" spans="1:12" x14ac:dyDescent="0.25">
      <c r="A123" s="336">
        <v>68</v>
      </c>
      <c r="B123" s="192" t="s">
        <v>80</v>
      </c>
      <c r="C123" s="210"/>
      <c r="D123" s="200">
        <v>7501993</v>
      </c>
      <c r="E123" s="200"/>
      <c r="F123" s="200">
        <f>7537690+650000</f>
        <v>8187690</v>
      </c>
      <c r="G123" s="204"/>
      <c r="H123" s="196">
        <f>(+F123-D123)/D123</f>
        <v>9.1401978114349081E-2</v>
      </c>
      <c r="I123" s="197"/>
      <c r="J123" s="198">
        <f t="shared" ref="J123:J128" si="8">+F123/F$163</f>
        <v>1.5076932306093294E-2</v>
      </c>
      <c r="L123" s="22" t="e">
        <f>(+F123-#REF!)/#REF!</f>
        <v>#REF!</v>
      </c>
    </row>
    <row r="124" spans="1:12" x14ac:dyDescent="0.25">
      <c r="A124" s="336">
        <v>69</v>
      </c>
      <c r="B124" s="192" t="s">
        <v>54</v>
      </c>
      <c r="C124" s="210"/>
      <c r="D124" s="200">
        <v>4313296</v>
      </c>
      <c r="E124" s="200"/>
      <c r="F124" s="200">
        <v>4317296</v>
      </c>
      <c r="G124" s="204"/>
      <c r="H124" s="196">
        <f>(+F124-D124)/D124</f>
        <v>9.273650591102489E-4</v>
      </c>
      <c r="I124" s="197"/>
      <c r="J124" s="198">
        <f t="shared" si="8"/>
        <v>7.9499320977427512E-3</v>
      </c>
      <c r="L124" s="22" t="e">
        <f>(+F124-#REF!)/#REF!</f>
        <v>#REF!</v>
      </c>
    </row>
    <row r="125" spans="1:12" x14ac:dyDescent="0.25">
      <c r="A125" s="336">
        <v>70</v>
      </c>
      <c r="B125" s="192" t="s">
        <v>68</v>
      </c>
      <c r="C125" s="210"/>
      <c r="D125" s="200">
        <v>268050</v>
      </c>
      <c r="E125" s="200"/>
      <c r="F125" s="200">
        <v>268050</v>
      </c>
      <c r="G125" s="204"/>
      <c r="H125" s="196">
        <f>(+F125-D125)/D125</f>
        <v>0</v>
      </c>
      <c r="I125" s="197"/>
      <c r="J125" s="198">
        <f t="shared" si="8"/>
        <v>4.9359119661935267E-4</v>
      </c>
      <c r="L125" s="22" t="e">
        <f>(+F125-#REF!)/#REF!</f>
        <v>#REF!</v>
      </c>
    </row>
    <row r="126" spans="1:12" x14ac:dyDescent="0.25">
      <c r="A126" s="336">
        <v>71</v>
      </c>
      <c r="B126" s="192" t="s">
        <v>56</v>
      </c>
      <c r="C126" s="210"/>
      <c r="D126" s="200">
        <v>101198</v>
      </c>
      <c r="E126" s="200"/>
      <c r="F126" s="200">
        <v>110198</v>
      </c>
      <c r="G126" s="204"/>
      <c r="H126" s="196">
        <f>(+F126-D126)/D126</f>
        <v>8.893456392418822E-2</v>
      </c>
      <c r="I126" s="197"/>
      <c r="J126" s="198">
        <f t="shared" si="8"/>
        <v>2.0292021147196203E-4</v>
      </c>
      <c r="L126" s="22" t="e">
        <f>(+F126-#REF!)/#REF!</f>
        <v>#REF!</v>
      </c>
    </row>
    <row r="127" spans="1:12" hidden="1" x14ac:dyDescent="0.25">
      <c r="B127" s="192" t="s">
        <v>57</v>
      </c>
      <c r="C127" s="210"/>
      <c r="D127" s="200">
        <v>0</v>
      </c>
      <c r="E127" s="200"/>
      <c r="F127" s="200">
        <v>0</v>
      </c>
      <c r="G127" s="204"/>
      <c r="H127" s="196">
        <v>0</v>
      </c>
      <c r="I127" s="197"/>
      <c r="J127" s="198">
        <f t="shared" si="8"/>
        <v>0</v>
      </c>
      <c r="L127" s="22" t="e">
        <f>(+F127-#REF!)/#REF!</f>
        <v>#REF!</v>
      </c>
    </row>
    <row r="128" spans="1:12" x14ac:dyDescent="0.25">
      <c r="A128" s="336">
        <v>72</v>
      </c>
      <c r="B128" s="209" t="s">
        <v>85</v>
      </c>
      <c r="C128" s="210"/>
      <c r="D128" s="203">
        <f>SUM(D123:D127)</f>
        <v>12184537</v>
      </c>
      <c r="E128" s="204"/>
      <c r="F128" s="203">
        <f>SUM(F123:F127)</f>
        <v>12883234</v>
      </c>
      <c r="G128" s="204"/>
      <c r="H128" s="205">
        <f>(+F128-D128)/D128</f>
        <v>5.7342925709856683E-2</v>
      </c>
      <c r="I128" s="197"/>
      <c r="J128" s="206">
        <f t="shared" si="8"/>
        <v>2.372337581192736E-2</v>
      </c>
      <c r="L128" s="22" t="e">
        <f>(+F128-#REF!)/#REF!</f>
        <v>#REF!</v>
      </c>
    </row>
    <row r="129" spans="1:12" x14ac:dyDescent="0.25">
      <c r="B129" s="192"/>
      <c r="C129" s="210"/>
      <c r="D129" s="208"/>
      <c r="E129" s="208"/>
      <c r="F129" s="208"/>
      <c r="G129" s="220"/>
      <c r="H129" s="196"/>
      <c r="I129" s="197"/>
      <c r="J129" s="198"/>
      <c r="L129" s="22"/>
    </row>
    <row r="130" spans="1:12" x14ac:dyDescent="0.25">
      <c r="B130" s="186" t="s">
        <v>86</v>
      </c>
      <c r="C130" s="210"/>
      <c r="D130" s="208"/>
      <c r="E130" s="208"/>
      <c r="F130" s="208"/>
      <c r="G130" s="220"/>
      <c r="H130" s="196"/>
      <c r="I130" s="197"/>
      <c r="J130" s="198"/>
      <c r="L130" s="22"/>
    </row>
    <row r="131" spans="1:12" x14ac:dyDescent="0.25">
      <c r="A131" s="336">
        <v>73</v>
      </c>
      <c r="B131" s="192" t="s">
        <v>80</v>
      </c>
      <c r="C131" s="210"/>
      <c r="D131" s="200">
        <f>7170035-24645</f>
        <v>7145390</v>
      </c>
      <c r="E131" s="200"/>
      <c r="F131" s="200">
        <f>6713363+1520668</f>
        <v>8234031</v>
      </c>
      <c r="G131" s="204"/>
      <c r="H131" s="196">
        <f>(+F131-D131)/D131</f>
        <v>0.15235571466358031</v>
      </c>
      <c r="I131" s="197"/>
      <c r="J131" s="198">
        <f>+F131/F$163</f>
        <v>1.5162265302334806E-2</v>
      </c>
      <c r="L131" s="22" t="e">
        <f>(+F131-#REF!)/#REF!</f>
        <v>#REF!</v>
      </c>
    </row>
    <row r="132" spans="1:12" x14ac:dyDescent="0.25">
      <c r="A132" s="336">
        <v>74</v>
      </c>
      <c r="B132" s="192" t="s">
        <v>54</v>
      </c>
      <c r="C132" s="210"/>
      <c r="D132" s="200">
        <v>543019</v>
      </c>
      <c r="E132" s="200"/>
      <c r="F132" s="200">
        <v>562369</v>
      </c>
      <c r="G132" s="204"/>
      <c r="H132" s="196">
        <f>(+F132-D132)/D132</f>
        <v>3.563411225021592E-2</v>
      </c>
      <c r="I132" s="197"/>
      <c r="J132" s="198">
        <f>+F132/F$163</f>
        <v>1.0355545146488667E-3</v>
      </c>
      <c r="L132" s="22" t="e">
        <f>(+F132-#REF!)/#REF!</f>
        <v>#REF!</v>
      </c>
    </row>
    <row r="133" spans="1:12" x14ac:dyDescent="0.25">
      <c r="A133" s="336">
        <v>75</v>
      </c>
      <c r="B133" s="192" t="s">
        <v>68</v>
      </c>
      <c r="C133" s="210"/>
      <c r="D133" s="200">
        <v>476104</v>
      </c>
      <c r="E133" s="200"/>
      <c r="F133" s="200">
        <v>134500</v>
      </c>
      <c r="G133" s="204"/>
      <c r="H133" s="196">
        <f>(+F133-D133)/D133</f>
        <v>-0.71749869776351383</v>
      </c>
      <c r="I133" s="197"/>
      <c r="J133" s="198">
        <f>+F133/F$163</f>
        <v>2.4767027026787142E-4</v>
      </c>
      <c r="L133" s="22" t="e">
        <f>(+F133-#REF!)/#REF!</f>
        <v>#REF!</v>
      </c>
    </row>
    <row r="134" spans="1:12" x14ac:dyDescent="0.25">
      <c r="A134" s="336">
        <v>76</v>
      </c>
      <c r="B134" s="192" t="s">
        <v>56</v>
      </c>
      <c r="C134" s="210"/>
      <c r="D134" s="200">
        <v>640453</v>
      </c>
      <c r="E134" s="200"/>
      <c r="F134" s="200">
        <v>634400</v>
      </c>
      <c r="G134" s="204"/>
      <c r="H134" s="196">
        <f>(+F134-D134)/D134</f>
        <v>-9.4511228770885608E-3</v>
      </c>
      <c r="I134" s="197"/>
      <c r="J134" s="198">
        <f>+F134/F$163</f>
        <v>1.168193453218867E-3</v>
      </c>
      <c r="L134" s="22" t="e">
        <f>(+F134-#REF!)/#REF!</f>
        <v>#REF!</v>
      </c>
    </row>
    <row r="135" spans="1:12" x14ac:dyDescent="0.25">
      <c r="A135" s="336">
        <v>77</v>
      </c>
      <c r="B135" s="209" t="s">
        <v>87</v>
      </c>
      <c r="C135" s="210"/>
      <c r="D135" s="203">
        <f>SUM(D131:D134)</f>
        <v>8804966</v>
      </c>
      <c r="E135" s="204"/>
      <c r="F135" s="203">
        <f>SUM(F131:F134)</f>
        <v>9565300</v>
      </c>
      <c r="G135" s="204"/>
      <c r="H135" s="205">
        <f>(+F135-D135)/D135</f>
        <v>8.6352860419903948E-2</v>
      </c>
      <c r="I135" s="197"/>
      <c r="J135" s="206">
        <f>+F135/F$163</f>
        <v>1.761368354047041E-2</v>
      </c>
      <c r="L135" s="22" t="e">
        <f>(+F135-#REF!)/#REF!</f>
        <v>#REF!</v>
      </c>
    </row>
    <row r="136" spans="1:12" hidden="1" x14ac:dyDescent="0.25">
      <c r="B136" s="209"/>
      <c r="C136" s="210"/>
      <c r="D136" s="204"/>
      <c r="E136" s="204"/>
      <c r="F136" s="204"/>
      <c r="G136" s="204"/>
      <c r="H136" s="197"/>
      <c r="I136" s="197"/>
      <c r="J136" s="207"/>
      <c r="L136" s="22"/>
    </row>
    <row r="137" spans="1:12" hidden="1" x14ac:dyDescent="0.25">
      <c r="B137" s="186" t="s">
        <v>160</v>
      </c>
      <c r="C137" s="210"/>
      <c r="D137" s="200"/>
      <c r="E137" s="200"/>
      <c r="F137" s="200"/>
      <c r="G137" s="204"/>
      <c r="H137" s="196"/>
      <c r="I137" s="197"/>
      <c r="J137" s="225"/>
      <c r="L137" s="22"/>
    </row>
    <row r="138" spans="1:12" hidden="1" x14ac:dyDescent="0.25">
      <c r="B138" s="192" t="s">
        <v>53</v>
      </c>
      <c r="C138" s="210"/>
      <c r="D138" s="200">
        <v>0</v>
      </c>
      <c r="E138" s="200"/>
      <c r="F138" s="200">
        <v>0</v>
      </c>
      <c r="G138" s="204"/>
      <c r="H138" s="196" t="e">
        <f>(+F138-D138)/D138</f>
        <v>#DIV/0!</v>
      </c>
      <c r="I138" s="197"/>
      <c r="J138" s="198">
        <f>+F138/F$163</f>
        <v>0</v>
      </c>
      <c r="L138" s="22" t="e">
        <f>(+F138-#REF!)/#REF!</f>
        <v>#REF!</v>
      </c>
    </row>
    <row r="139" spans="1:12" hidden="1" x14ac:dyDescent="0.25">
      <c r="B139" s="192" t="s">
        <v>161</v>
      </c>
      <c r="C139" s="210"/>
      <c r="D139" s="289">
        <v>0</v>
      </c>
      <c r="E139" s="200"/>
      <c r="F139" s="289">
        <v>0</v>
      </c>
      <c r="G139" s="204"/>
      <c r="H139" s="196">
        <v>0</v>
      </c>
      <c r="I139" s="197"/>
      <c r="J139" s="198">
        <f>+F139/F$163</f>
        <v>0</v>
      </c>
      <c r="L139" s="22" t="e">
        <f>(+F139-#REF!)/#REF!</f>
        <v>#REF!</v>
      </c>
    </row>
    <row r="140" spans="1:12" hidden="1" x14ac:dyDescent="0.25">
      <c r="B140" s="209" t="s">
        <v>167</v>
      </c>
      <c r="C140" s="210"/>
      <c r="D140" s="290">
        <f>SUM(D138:D139)</f>
        <v>0</v>
      </c>
      <c r="E140" s="204"/>
      <c r="F140" s="290">
        <f>SUM(F138:F139)</f>
        <v>0</v>
      </c>
      <c r="G140" s="204"/>
      <c r="H140" s="205">
        <v>0</v>
      </c>
      <c r="I140" s="197"/>
      <c r="J140" s="206">
        <f>+F140/F$163</f>
        <v>0</v>
      </c>
      <c r="L140" s="22" t="e">
        <f>(+F140-#REF!)/#REF!</f>
        <v>#REF!</v>
      </c>
    </row>
    <row r="141" spans="1:12" x14ac:dyDescent="0.25">
      <c r="B141" s="209"/>
      <c r="C141" s="210"/>
      <c r="D141" s="204"/>
      <c r="E141" s="204"/>
      <c r="F141" s="204"/>
      <c r="G141" s="204"/>
      <c r="H141" s="197"/>
      <c r="I141" s="197"/>
      <c r="J141" s="207"/>
      <c r="L141" s="22"/>
    </row>
    <row r="142" spans="1:12" x14ac:dyDescent="0.25">
      <c r="B142" s="186" t="s">
        <v>203</v>
      </c>
      <c r="C142" s="210"/>
      <c r="D142" s="208"/>
      <c r="E142" s="208"/>
      <c r="F142" s="208"/>
      <c r="G142" s="220"/>
      <c r="H142" s="196"/>
      <c r="I142" s="197"/>
      <c r="J142" s="217"/>
      <c r="L142" s="22"/>
    </row>
    <row r="143" spans="1:12" x14ac:dyDescent="0.25">
      <c r="A143" s="336">
        <v>78</v>
      </c>
      <c r="B143" s="192" t="s">
        <v>54</v>
      </c>
      <c r="C143" s="210"/>
      <c r="D143" s="204">
        <v>18603784</v>
      </c>
      <c r="E143" s="204"/>
      <c r="F143" s="204">
        <v>32444332</v>
      </c>
      <c r="G143" s="204"/>
      <c r="H143" s="196">
        <f>(+F143-D143)/D143</f>
        <v>0.74396413116815374</v>
      </c>
      <c r="I143" s="197"/>
      <c r="J143" s="198">
        <f>+F143/F$163</f>
        <v>5.9743468216360958E-2</v>
      </c>
      <c r="L143" s="22"/>
    </row>
    <row r="144" spans="1:12" x14ac:dyDescent="0.25">
      <c r="A144" s="336">
        <v>79</v>
      </c>
      <c r="B144" s="209" t="s">
        <v>178</v>
      </c>
      <c r="C144" s="210"/>
      <c r="D144" s="203">
        <f>SUM(D142:D143)</f>
        <v>18603784</v>
      </c>
      <c r="E144" s="204"/>
      <c r="F144" s="203">
        <f>SUM(F142:F143)</f>
        <v>32444332</v>
      </c>
      <c r="G144" s="204"/>
      <c r="H144" s="205">
        <f>SUM(H143)</f>
        <v>0.74396413116815374</v>
      </c>
      <c r="I144" s="197"/>
      <c r="J144" s="206">
        <f>+F144/F$163</f>
        <v>5.9743468216360958E-2</v>
      </c>
      <c r="L144" s="22" t="e">
        <f>(+F144-#REF!)/#REF!</f>
        <v>#REF!</v>
      </c>
    </row>
    <row r="145" spans="1:12" x14ac:dyDescent="0.25">
      <c r="B145" s="192"/>
      <c r="C145" s="210"/>
      <c r="D145" s="208"/>
      <c r="E145" s="208"/>
      <c r="F145" s="208"/>
      <c r="G145" s="220"/>
      <c r="H145" s="196"/>
      <c r="I145" s="197"/>
      <c r="J145" s="198"/>
      <c r="L145" s="22"/>
    </row>
    <row r="146" spans="1:12" hidden="1" x14ac:dyDescent="0.25">
      <c r="B146" s="186" t="s">
        <v>156</v>
      </c>
      <c r="C146" s="210"/>
      <c r="D146" s="200"/>
      <c r="E146" s="200"/>
      <c r="F146" s="200"/>
      <c r="G146" s="204"/>
      <c r="H146" s="196"/>
      <c r="I146" s="197"/>
      <c r="J146" s="225"/>
      <c r="L146" s="22"/>
    </row>
    <row r="147" spans="1:12" hidden="1" x14ac:dyDescent="0.25">
      <c r="B147" s="192" t="s">
        <v>53</v>
      </c>
      <c r="C147" s="210"/>
      <c r="D147" s="200">
        <v>0</v>
      </c>
      <c r="E147" s="200"/>
      <c r="F147" s="200">
        <v>0</v>
      </c>
      <c r="G147" s="204"/>
      <c r="H147" s="196" t="e">
        <f>(+F147-D147)/D147</f>
        <v>#DIV/0!</v>
      </c>
      <c r="I147" s="197"/>
      <c r="J147" s="198">
        <f>+F147/F$163</f>
        <v>0</v>
      </c>
      <c r="L147" s="22" t="e">
        <f>(+F147-#REF!)/#REF!</f>
        <v>#REF!</v>
      </c>
    </row>
    <row r="148" spans="1:12" hidden="1" x14ac:dyDescent="0.25">
      <c r="B148" s="192" t="s">
        <v>57</v>
      </c>
      <c r="C148" s="210"/>
      <c r="D148" s="200">
        <v>0</v>
      </c>
      <c r="E148" s="200"/>
      <c r="F148" s="200">
        <v>0</v>
      </c>
      <c r="G148" s="204"/>
      <c r="H148" s="196">
        <v>0</v>
      </c>
      <c r="I148" s="197"/>
      <c r="J148" s="198">
        <f>+F148/F$163</f>
        <v>0</v>
      </c>
      <c r="L148" s="22" t="e">
        <f>(+F148-#REF!)/#REF!</f>
        <v>#REF!</v>
      </c>
    </row>
    <row r="149" spans="1:12" hidden="1" x14ac:dyDescent="0.25">
      <c r="B149" s="209" t="s">
        <v>88</v>
      </c>
      <c r="C149" s="210"/>
      <c r="D149" s="203">
        <f>SUM(D147:D148)</f>
        <v>0</v>
      </c>
      <c r="E149" s="204"/>
      <c r="F149" s="203">
        <f>SUM(F147:F148)</f>
        <v>0</v>
      </c>
      <c r="G149" s="204"/>
      <c r="H149" s="205" t="e">
        <f>(+F149-D149)/D149</f>
        <v>#DIV/0!</v>
      </c>
      <c r="I149" s="197"/>
      <c r="J149" s="206">
        <f>+F149/F$163</f>
        <v>0</v>
      </c>
      <c r="L149" s="22" t="e">
        <f>(+F149-#REF!)/#REF!</f>
        <v>#REF!</v>
      </c>
    </row>
    <row r="150" spans="1:12" hidden="1" x14ac:dyDescent="0.25">
      <c r="B150" s="209"/>
      <c r="C150" s="210"/>
      <c r="D150" s="204"/>
      <c r="E150" s="204"/>
      <c r="F150" s="204"/>
      <c r="G150" s="204"/>
      <c r="H150" s="197"/>
      <c r="I150" s="197"/>
      <c r="J150" s="207"/>
      <c r="L150" s="23"/>
    </row>
    <row r="151" spans="1:12" x14ac:dyDescent="0.25">
      <c r="B151" s="186" t="s">
        <v>89</v>
      </c>
      <c r="C151" s="210"/>
      <c r="D151" s="208"/>
      <c r="E151" s="208"/>
      <c r="F151" s="208"/>
      <c r="G151" s="220"/>
      <c r="H151" s="196"/>
      <c r="I151" s="197"/>
      <c r="J151" s="217"/>
      <c r="L151" s="22"/>
    </row>
    <row r="152" spans="1:12" x14ac:dyDescent="0.25">
      <c r="A152" s="336">
        <v>80</v>
      </c>
      <c r="B152" s="192" t="s">
        <v>90</v>
      </c>
      <c r="C152" s="210"/>
      <c r="D152" s="200">
        <v>210000</v>
      </c>
      <c r="E152" s="200"/>
      <c r="F152" s="200">
        <v>210000</v>
      </c>
      <c r="G152" s="204"/>
      <c r="H152" s="196">
        <f>(+F152-D152)/D152</f>
        <v>0</v>
      </c>
      <c r="I152" s="197"/>
      <c r="J152" s="198">
        <f>+F152/F$163</f>
        <v>3.8669707625466911E-4</v>
      </c>
      <c r="L152" s="22" t="e">
        <f>(+F152-#REF!)/#REF!</f>
        <v>#REF!</v>
      </c>
    </row>
    <row r="153" spans="1:12" x14ac:dyDescent="0.25">
      <c r="A153" s="336">
        <v>81</v>
      </c>
      <c r="B153" s="209" t="s">
        <v>91</v>
      </c>
      <c r="C153" s="210"/>
      <c r="D153" s="203">
        <f>SUM(D152)</f>
        <v>210000</v>
      </c>
      <c r="E153" s="204"/>
      <c r="F153" s="203">
        <f>SUM(F152)</f>
        <v>210000</v>
      </c>
      <c r="G153" s="204"/>
      <c r="H153" s="205">
        <f>(+F153-D153)/D153</f>
        <v>0</v>
      </c>
      <c r="I153" s="197"/>
      <c r="J153" s="206">
        <f>+F153/F$163</f>
        <v>3.8669707625466911E-4</v>
      </c>
      <c r="L153" s="22" t="e">
        <f>(+F153-#REF!)/#REF!</f>
        <v>#REF!</v>
      </c>
    </row>
    <row r="154" spans="1:12" x14ac:dyDescent="0.25">
      <c r="B154" s="192"/>
      <c r="C154" s="210"/>
      <c r="D154" s="208"/>
      <c r="E154" s="208"/>
      <c r="F154" s="208"/>
      <c r="G154" s="220"/>
      <c r="H154" s="196"/>
      <c r="I154" s="197"/>
      <c r="J154" s="217"/>
      <c r="L154" s="22"/>
    </row>
    <row r="155" spans="1:12" x14ac:dyDescent="0.25">
      <c r="B155" s="186" t="s">
        <v>205</v>
      </c>
      <c r="C155" s="209"/>
      <c r="D155" s="208"/>
      <c r="E155" s="208"/>
      <c r="F155" s="208"/>
      <c r="G155" s="220"/>
      <c r="H155" s="196"/>
      <c r="I155" s="197"/>
      <c r="J155" s="217"/>
      <c r="L155" s="22"/>
    </row>
    <row r="156" spans="1:12" x14ac:dyDescent="0.25">
      <c r="A156" s="336">
        <v>82</v>
      </c>
      <c r="B156" s="192" t="s">
        <v>54</v>
      </c>
      <c r="C156" s="210"/>
      <c r="D156" s="200">
        <v>200000</v>
      </c>
      <c r="E156" s="200"/>
      <c r="F156" s="200">
        <v>200000</v>
      </c>
      <c r="G156" s="204"/>
      <c r="H156" s="196">
        <f>(+F156-D156)/D156</f>
        <v>0</v>
      </c>
      <c r="I156" s="197"/>
      <c r="J156" s="198">
        <f>+F156/F$163</f>
        <v>3.6828292976635152E-4</v>
      </c>
      <c r="L156" s="22" t="e">
        <f>(+F156-#REF!)/#REF!</f>
        <v>#REF!</v>
      </c>
    </row>
    <row r="157" spans="1:12" x14ac:dyDescent="0.25">
      <c r="A157" s="336">
        <v>83</v>
      </c>
      <c r="B157" s="209" t="s">
        <v>92</v>
      </c>
      <c r="C157" s="209"/>
      <c r="D157" s="203">
        <f>SUM(D156)</f>
        <v>200000</v>
      </c>
      <c r="E157" s="204"/>
      <c r="F157" s="203">
        <f>SUM(F156)</f>
        <v>200000</v>
      </c>
      <c r="G157" s="204"/>
      <c r="H157" s="205">
        <f>(+F157-D157)/D157</f>
        <v>0</v>
      </c>
      <c r="I157" s="197"/>
      <c r="J157" s="206">
        <f>+F157/F$163</f>
        <v>3.6828292976635152E-4</v>
      </c>
      <c r="L157" s="22" t="e">
        <f>(+F157-#REF!)/#REF!</f>
        <v>#REF!</v>
      </c>
    </row>
    <row r="158" spans="1:12" x14ac:dyDescent="0.25">
      <c r="B158" s="192"/>
      <c r="C158" s="210"/>
      <c r="D158" s="200"/>
      <c r="E158" s="200"/>
      <c r="F158" s="200"/>
      <c r="G158" s="226"/>
      <c r="H158" s="196"/>
      <c r="I158" s="197"/>
      <c r="J158" s="198"/>
      <c r="L158" s="22"/>
    </row>
    <row r="159" spans="1:12" x14ac:dyDescent="0.25">
      <c r="B159" s="186" t="s">
        <v>93</v>
      </c>
      <c r="C159" s="209"/>
      <c r="D159" s="208"/>
      <c r="E159" s="208"/>
      <c r="F159" s="208"/>
      <c r="G159" s="220"/>
      <c r="H159" s="196"/>
      <c r="I159" s="197"/>
      <c r="J159" s="217"/>
      <c r="L159" s="22"/>
    </row>
    <row r="160" spans="1:12" x14ac:dyDescent="0.25">
      <c r="A160" s="336">
        <v>84</v>
      </c>
      <c r="B160" s="192" t="s">
        <v>54</v>
      </c>
      <c r="C160" s="210"/>
      <c r="D160" s="200">
        <v>3662088</v>
      </c>
      <c r="E160" s="200"/>
      <c r="F160" s="200">
        <v>3850000</v>
      </c>
      <c r="G160" s="204"/>
      <c r="H160" s="196">
        <f>(+F160-D160)/D160</f>
        <v>5.1312802969235037E-2</v>
      </c>
      <c r="I160" s="197"/>
      <c r="J160" s="198">
        <f>+F160/F$163</f>
        <v>7.0894463980022667E-3</v>
      </c>
      <c r="L160" s="22" t="e">
        <f>(+F160-#REF!)/#REF!</f>
        <v>#REF!</v>
      </c>
    </row>
    <row r="161" spans="1:12" x14ac:dyDescent="0.25">
      <c r="A161" s="336">
        <v>85</v>
      </c>
      <c r="B161" s="209" t="s">
        <v>94</v>
      </c>
      <c r="C161" s="209"/>
      <c r="D161" s="203">
        <f>SUM(D160)</f>
        <v>3662088</v>
      </c>
      <c r="E161" s="204"/>
      <c r="F161" s="203">
        <f>SUM(F160)</f>
        <v>3850000</v>
      </c>
      <c r="G161" s="204"/>
      <c r="H161" s="205">
        <f>(+F161-D161)/D161</f>
        <v>5.1312802969235037E-2</v>
      </c>
      <c r="I161" s="197"/>
      <c r="J161" s="206">
        <f>+F161/F$163</f>
        <v>7.0894463980022667E-3</v>
      </c>
      <c r="L161" s="22" t="e">
        <f>(+F161-#REF!)/#REF!</f>
        <v>#REF!</v>
      </c>
    </row>
    <row r="162" spans="1:12" x14ac:dyDescent="0.25">
      <c r="B162" s="192"/>
      <c r="C162" s="210"/>
      <c r="D162" s="200"/>
      <c r="E162" s="200"/>
      <c r="F162" s="200"/>
      <c r="G162" s="226"/>
      <c r="H162" s="196"/>
      <c r="I162" s="197"/>
      <c r="J162" s="198"/>
      <c r="L162" s="22"/>
    </row>
    <row r="163" spans="1:12" ht="15.75" thickBot="1" x14ac:dyDescent="0.3">
      <c r="A163" s="336">
        <v>86</v>
      </c>
      <c r="B163" s="209" t="s">
        <v>95</v>
      </c>
      <c r="C163" s="210"/>
      <c r="D163" s="227">
        <f>D14+D21+D28+D35+D42+D49+D62+D69+D74+D82+D90+D97+D105+D120+D128+D135+D140+D144+D153+D157+D161</f>
        <v>504233482</v>
      </c>
      <c r="E163" s="228"/>
      <c r="F163" s="227">
        <f>F14+F21+F28+F35+F42+F49+F62+F69+F74+F82+F90+F97+F105+F120+F128+F135+F140+F144+F153+F157+F161</f>
        <v>543060739.00000012</v>
      </c>
      <c r="G163" s="204"/>
      <c r="H163" s="229">
        <f>(+F163-D163)/D163</f>
        <v>7.7002536297262628E-2</v>
      </c>
      <c r="I163" s="197"/>
      <c r="J163" s="230">
        <f>+F163/F$163</f>
        <v>1</v>
      </c>
      <c r="L163" s="22" t="e">
        <f>(+F163-#REF!)/#REF!</f>
        <v>#REF!</v>
      </c>
    </row>
    <row r="164" spans="1:12" ht="15.75" thickTop="1" x14ac:dyDescent="0.25"/>
    <row r="166" spans="1:12" x14ac:dyDescent="0.25">
      <c r="F166" s="324"/>
    </row>
    <row r="168" spans="1:12" x14ac:dyDescent="0.25">
      <c r="F168" s="338"/>
    </row>
  </sheetData>
  <mergeCells count="11">
    <mergeCell ref="B110:J110"/>
    <mergeCell ref="B1:J1"/>
    <mergeCell ref="B2:J2"/>
    <mergeCell ref="B3:J3"/>
    <mergeCell ref="B51:J51"/>
    <mergeCell ref="B52:J52"/>
    <mergeCell ref="B54:J54"/>
    <mergeCell ref="B107:J107"/>
    <mergeCell ref="B108:J108"/>
    <mergeCell ref="B53:J53"/>
    <mergeCell ref="B109:J109"/>
  </mergeCells>
  <printOptions horizontalCentered="1"/>
  <pageMargins left="0.7" right="0.7" top="0.75" bottom="0.75" header="0.3" footer="0.3"/>
  <pageSetup scale="92" firstPageNumber="3" orientation="portrait" r:id="rId1"/>
  <headerFooter differentOddEven="1" differentFirst="1">
    <oddFooter>&amp;C&amp;"Arial,Regular"&amp;10-6-</oddFooter>
    <evenFooter>&amp;C&amp;"Arial,Regular"&amp;10-5-</evenFooter>
    <firstFooter>&amp;C&amp;"Arial,Regular"&amp;10-4-</firstFooter>
  </headerFooter>
  <rowBreaks count="2" manualBreakCount="2">
    <brk id="50" max="16383" man="1"/>
    <brk id="10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4CC80-0EF7-4F21-AF91-4E2E6788F2C9}">
  <sheetPr>
    <tabColor rgb="FFFF00FF"/>
  </sheetPr>
  <dimension ref="A1:V258"/>
  <sheetViews>
    <sheetView topLeftCell="A125" zoomScaleNormal="100" workbookViewId="0">
      <selection activeCell="E9" sqref="E9"/>
    </sheetView>
  </sheetViews>
  <sheetFormatPr defaultColWidth="15.7109375" defaultRowHeight="15" x14ac:dyDescent="0.25"/>
  <cols>
    <col min="1" max="1" width="32.85546875" style="56" customWidth="1"/>
    <col min="2" max="2" width="1.85546875" style="56" customWidth="1"/>
    <col min="3" max="3" width="17.7109375" style="56" customWidth="1"/>
    <col min="4" max="4" width="1" style="29" customWidth="1"/>
    <col min="5" max="5" width="19" style="29" customWidth="1"/>
    <col min="6" max="6" width="0.85546875" style="41" customWidth="1"/>
    <col min="7" max="7" width="15.7109375" style="56" customWidth="1"/>
    <col min="8" max="8" width="1" style="41" customWidth="1"/>
    <col min="9" max="9" width="0.28515625" style="56" hidden="1" customWidth="1"/>
    <col min="10" max="10" width="12.7109375" style="29" customWidth="1"/>
    <col min="11" max="15" width="15.7109375" style="29"/>
    <col min="16" max="16" width="15.7109375" style="31"/>
    <col min="17" max="17" width="15.7109375" style="76"/>
    <col min="18" max="16384" width="15.7109375" style="56"/>
  </cols>
  <sheetData>
    <row r="1" spans="1:19" x14ac:dyDescent="0.25">
      <c r="A1" s="368" t="s">
        <v>0</v>
      </c>
      <c r="B1" s="368"/>
      <c r="C1" s="368"/>
      <c r="D1" s="368"/>
      <c r="E1" s="368"/>
      <c r="F1" s="368"/>
      <c r="G1" s="368"/>
      <c r="H1" s="368"/>
      <c r="I1" s="368"/>
    </row>
    <row r="2" spans="1:19" x14ac:dyDescent="0.25">
      <c r="A2" s="368" t="s">
        <v>150</v>
      </c>
      <c r="B2" s="368"/>
      <c r="C2" s="368"/>
      <c r="D2" s="368"/>
      <c r="E2" s="368"/>
      <c r="F2" s="368"/>
      <c r="G2" s="368"/>
      <c r="H2" s="368"/>
      <c r="I2" s="368"/>
    </row>
    <row r="3" spans="1:19" x14ac:dyDescent="0.25">
      <c r="A3" s="369" t="s">
        <v>47</v>
      </c>
      <c r="B3" s="369"/>
      <c r="C3" s="369"/>
      <c r="D3" s="369"/>
      <c r="E3" s="369"/>
      <c r="F3" s="369"/>
      <c r="G3" s="369"/>
      <c r="H3" s="369"/>
      <c r="I3" s="369"/>
    </row>
    <row r="4" spans="1:19" ht="15.75" thickBot="1" x14ac:dyDescent="0.3">
      <c r="A4" s="103"/>
      <c r="B4" s="103"/>
      <c r="C4" s="103"/>
      <c r="D4" s="232"/>
      <c r="E4" s="232"/>
      <c r="F4" s="233"/>
      <c r="G4" s="103"/>
      <c r="H4" s="233"/>
      <c r="I4" s="103"/>
      <c r="P4" s="77" t="s">
        <v>181</v>
      </c>
    </row>
    <row r="5" spans="1:19" x14ac:dyDescent="0.25">
      <c r="A5" s="234"/>
      <c r="B5" s="234"/>
      <c r="C5" s="175" t="s">
        <v>150</v>
      </c>
      <c r="D5" s="175"/>
      <c r="E5" s="175" t="s">
        <v>150</v>
      </c>
      <c r="F5" s="176"/>
      <c r="G5" s="177" t="s">
        <v>48</v>
      </c>
      <c r="H5" s="178"/>
      <c r="I5" s="179"/>
      <c r="P5" s="110" t="s">
        <v>182</v>
      </c>
      <c r="Q5" s="113" t="s">
        <v>44</v>
      </c>
    </row>
    <row r="6" spans="1:19" x14ac:dyDescent="0.25">
      <c r="A6" s="234"/>
      <c r="B6" s="234"/>
      <c r="C6" s="305" t="s">
        <v>154</v>
      </c>
      <c r="D6" s="305"/>
      <c r="E6" s="305" t="s">
        <v>211</v>
      </c>
      <c r="F6" s="181"/>
      <c r="G6" s="177" t="s">
        <v>49</v>
      </c>
      <c r="H6" s="178"/>
      <c r="I6" s="182" t="s">
        <v>48</v>
      </c>
      <c r="P6" s="111" t="s">
        <v>183</v>
      </c>
      <c r="Q6" s="114" t="s">
        <v>210</v>
      </c>
    </row>
    <row r="7" spans="1:19" ht="15.75" thickBot="1" x14ac:dyDescent="0.3">
      <c r="A7" s="234"/>
      <c r="B7" s="234"/>
      <c r="C7" s="183" t="s">
        <v>174</v>
      </c>
      <c r="D7" s="181"/>
      <c r="E7" s="183" t="s">
        <v>212</v>
      </c>
      <c r="F7" s="181"/>
      <c r="G7" s="184" t="s">
        <v>50</v>
      </c>
      <c r="H7" s="178"/>
      <c r="I7" s="185" t="s">
        <v>51</v>
      </c>
      <c r="J7" s="321"/>
      <c r="P7" s="112" t="s">
        <v>180</v>
      </c>
      <c r="Q7" s="115" t="s">
        <v>184</v>
      </c>
    </row>
    <row r="8" spans="1:19" x14ac:dyDescent="0.25">
      <c r="A8" s="186" t="s">
        <v>52</v>
      </c>
      <c r="B8" s="234"/>
      <c r="C8" s="187"/>
      <c r="D8" s="187"/>
      <c r="E8" s="187"/>
      <c r="F8" s="188"/>
      <c r="G8" s="189"/>
      <c r="H8" s="190"/>
      <c r="I8" s="191"/>
      <c r="M8" s="319">
        <v>2.5000000000000001E-2</v>
      </c>
      <c r="P8" s="76"/>
    </row>
    <row r="9" spans="1:19" x14ac:dyDescent="0.25">
      <c r="A9" s="192" t="s">
        <v>53</v>
      </c>
      <c r="B9" s="234"/>
      <c r="C9" s="193">
        <v>274024373</v>
      </c>
      <c r="D9" s="194"/>
      <c r="E9" s="193">
        <f>277009542+M14</f>
        <v>282729035</v>
      </c>
      <c r="F9" s="195"/>
      <c r="G9" s="196">
        <f t="shared" ref="G9:G14" si="0">(+E9-C9)/C9</f>
        <v>3.1766013747981464E-2</v>
      </c>
      <c r="H9" s="197"/>
      <c r="I9" s="198">
        <f t="shared" ref="I9:I14" si="1">+E9/E$162</f>
        <v>0.55968011938067375</v>
      </c>
      <c r="P9" s="76">
        <f>7500000-3799834</f>
        <v>3700166</v>
      </c>
      <c r="Q9" s="76">
        <f>231860206+52346932</f>
        <v>284207138</v>
      </c>
      <c r="S9" s="56" t="s">
        <v>217</v>
      </c>
    </row>
    <row r="10" spans="1:19" x14ac:dyDescent="0.25">
      <c r="A10" s="192" t="s">
        <v>54</v>
      </c>
      <c r="B10" s="234"/>
      <c r="C10" s="199">
        <v>1985092</v>
      </c>
      <c r="D10" s="200"/>
      <c r="E10" s="199">
        <v>2318603</v>
      </c>
      <c r="F10" s="201"/>
      <c r="G10" s="196">
        <f t="shared" si="0"/>
        <v>0.16800783036755979</v>
      </c>
      <c r="H10" s="197"/>
      <c r="I10" s="198">
        <f t="shared" si="1"/>
        <v>4.5898222085198588E-3</v>
      </c>
      <c r="J10" s="322"/>
      <c r="K10" s="71"/>
      <c r="L10" s="71"/>
      <c r="M10" s="71"/>
      <c r="N10" s="71"/>
      <c r="P10" s="76">
        <v>1000000</v>
      </c>
      <c r="Q10" s="76">
        <v>2318603</v>
      </c>
      <c r="S10" s="56" t="s">
        <v>215</v>
      </c>
    </row>
    <row r="11" spans="1:19" x14ac:dyDescent="0.25">
      <c r="A11" s="192" t="s">
        <v>55</v>
      </c>
      <c r="B11" s="234"/>
      <c r="C11" s="199">
        <v>6878060</v>
      </c>
      <c r="D11" s="200"/>
      <c r="E11" s="199">
        <v>6626040</v>
      </c>
      <c r="F11" s="201"/>
      <c r="G11" s="196">
        <f t="shared" si="0"/>
        <v>-3.6641145904513769E-2</v>
      </c>
      <c r="H11" s="197"/>
      <c r="I11" s="198">
        <f t="shared" si="1"/>
        <v>1.3116667901551462E-2</v>
      </c>
      <c r="P11" s="76"/>
    </row>
    <row r="12" spans="1:19" x14ac:dyDescent="0.25">
      <c r="A12" s="192" t="s">
        <v>56</v>
      </c>
      <c r="B12" s="234"/>
      <c r="C12" s="199">
        <v>433045</v>
      </c>
      <c r="D12" s="200"/>
      <c r="E12" s="199">
        <v>466814</v>
      </c>
      <c r="F12" s="201"/>
      <c r="G12" s="196">
        <f t="shared" si="0"/>
        <v>7.7980348462630911E-2</v>
      </c>
      <c r="H12" s="197"/>
      <c r="I12" s="198">
        <f t="shared" si="1"/>
        <v>9.2408802388679271E-4</v>
      </c>
      <c r="J12" s="322"/>
      <c r="P12" s="76"/>
    </row>
    <row r="13" spans="1:19" x14ac:dyDescent="0.25">
      <c r="A13" s="192" t="s">
        <v>57</v>
      </c>
      <c r="B13" s="234"/>
      <c r="C13" s="202">
        <v>150</v>
      </c>
      <c r="D13" s="200"/>
      <c r="E13" s="202">
        <v>125</v>
      </c>
      <c r="F13" s="201"/>
      <c r="G13" s="196">
        <f t="shared" si="0"/>
        <v>-0.16666666666666666</v>
      </c>
      <c r="H13" s="197"/>
      <c r="I13" s="198">
        <f t="shared" si="1"/>
        <v>2.474454557615005E-7</v>
      </c>
      <c r="P13" s="76"/>
    </row>
    <row r="14" spans="1:19" x14ac:dyDescent="0.25">
      <c r="A14" s="186" t="s">
        <v>58</v>
      </c>
      <c r="B14" s="234"/>
      <c r="C14" s="203">
        <f>SUM(C9:C13)</f>
        <v>283320720</v>
      </c>
      <c r="D14" s="204"/>
      <c r="E14" s="203">
        <f>SUM(E9:E13)</f>
        <v>292140617</v>
      </c>
      <c r="F14" s="201"/>
      <c r="G14" s="205">
        <f t="shared" si="0"/>
        <v>3.1130434088971679E-2</v>
      </c>
      <c r="H14" s="197"/>
      <c r="I14" s="206">
        <f t="shared" si="1"/>
        <v>0.57831094496008772</v>
      </c>
      <c r="M14" s="324">
        <v>5719493</v>
      </c>
      <c r="P14" s="76"/>
    </row>
    <row r="15" spans="1:19" x14ac:dyDescent="0.25">
      <c r="A15" s="186"/>
      <c r="B15" s="234"/>
      <c r="C15" s="204"/>
      <c r="D15" s="204"/>
      <c r="E15" s="204"/>
      <c r="F15" s="201"/>
      <c r="G15" s="197"/>
      <c r="H15" s="197"/>
      <c r="I15" s="207"/>
      <c r="M15" s="324"/>
      <c r="P15" s="76"/>
    </row>
    <row r="16" spans="1:19" x14ac:dyDescent="0.25">
      <c r="A16" s="186" t="s">
        <v>59</v>
      </c>
      <c r="B16" s="234"/>
      <c r="C16" s="208"/>
      <c r="D16" s="208"/>
      <c r="E16" s="208"/>
      <c r="F16" s="201"/>
      <c r="G16" s="198"/>
      <c r="H16" s="207"/>
      <c r="I16" s="198"/>
      <c r="M16" s="324"/>
      <c r="P16" s="76"/>
    </row>
    <row r="17" spans="1:17" x14ac:dyDescent="0.25">
      <c r="A17" s="192" t="s">
        <v>53</v>
      </c>
      <c r="B17" s="234"/>
      <c r="C17" s="200">
        <v>5145435</v>
      </c>
      <c r="D17" s="200"/>
      <c r="E17" s="200">
        <f>5692974+M21</f>
        <v>5808342</v>
      </c>
      <c r="F17" s="201"/>
      <c r="G17" s="196">
        <f>(+E17-C17)/C17</f>
        <v>0.12883400528818262</v>
      </c>
      <c r="H17" s="197"/>
      <c r="I17" s="198">
        <f>+E17/E$162</f>
        <v>1.1497982667269322E-2</v>
      </c>
      <c r="M17" s="324"/>
      <c r="P17" s="76">
        <v>0</v>
      </c>
      <c r="Q17" s="76">
        <v>4747159</v>
      </c>
    </row>
    <row r="18" spans="1:17" x14ac:dyDescent="0.25">
      <c r="A18" s="192" t="s">
        <v>54</v>
      </c>
      <c r="B18" s="234"/>
      <c r="C18" s="200">
        <v>277875</v>
      </c>
      <c r="D18" s="200"/>
      <c r="E18" s="200">
        <v>254405</v>
      </c>
      <c r="F18" s="201"/>
      <c r="G18" s="196">
        <f>(+E18-C18)/C18</f>
        <v>-8.4462438146648666E-2</v>
      </c>
      <c r="H18" s="197"/>
      <c r="I18" s="198">
        <f>+E18/E$162</f>
        <v>5.0361088938403629E-4</v>
      </c>
      <c r="M18" s="324"/>
      <c r="P18" s="76"/>
    </row>
    <row r="19" spans="1:17" x14ac:dyDescent="0.25">
      <c r="A19" s="192" t="s">
        <v>55</v>
      </c>
      <c r="B19" s="234"/>
      <c r="C19" s="200">
        <v>397963</v>
      </c>
      <c r="D19" s="200"/>
      <c r="E19" s="200">
        <v>387141</v>
      </c>
      <c r="F19" s="201"/>
      <c r="G19" s="196">
        <f>(+E19-C19)/C19</f>
        <v>-2.7193482811216117E-2</v>
      </c>
      <c r="H19" s="197"/>
      <c r="I19" s="198">
        <f>+E19/E$162</f>
        <v>7.6637024951170453E-4</v>
      </c>
      <c r="M19" s="324"/>
      <c r="P19" s="76"/>
    </row>
    <row r="20" spans="1:17" x14ac:dyDescent="0.25">
      <c r="A20" s="192" t="s">
        <v>56</v>
      </c>
      <c r="B20" s="234"/>
      <c r="C20" s="200">
        <v>3955</v>
      </c>
      <c r="D20" s="200"/>
      <c r="E20" s="200">
        <v>4115</v>
      </c>
      <c r="F20" s="201"/>
      <c r="G20" s="196">
        <f>(+E20-C20)/C20</f>
        <v>4.0455120101137804E-2</v>
      </c>
      <c r="H20" s="197"/>
      <c r="I20" s="198">
        <f>+E20/E$162</f>
        <v>8.1459044036685963E-6</v>
      </c>
      <c r="M20" s="324"/>
      <c r="P20" s="76"/>
    </row>
    <row r="21" spans="1:17" x14ac:dyDescent="0.25">
      <c r="A21" s="186" t="s">
        <v>60</v>
      </c>
      <c r="B21" s="234"/>
      <c r="C21" s="203">
        <f>SUM(C17:C20)</f>
        <v>5825228</v>
      </c>
      <c r="D21" s="204"/>
      <c r="E21" s="203">
        <f>SUM(E17:E20)</f>
        <v>6454003</v>
      </c>
      <c r="F21" s="201"/>
      <c r="G21" s="205">
        <f>(+E21-C21)/C21</f>
        <v>0.10793998106168548</v>
      </c>
      <c r="H21" s="197"/>
      <c r="I21" s="206">
        <f>+E21/E$162</f>
        <v>1.2776109710568731E-2</v>
      </c>
      <c r="M21" s="324">
        <v>115368</v>
      </c>
      <c r="P21" s="76"/>
    </row>
    <row r="22" spans="1:17" x14ac:dyDescent="0.25">
      <c r="A22" s="186"/>
      <c r="B22" s="234"/>
      <c r="C22" s="204"/>
      <c r="D22" s="204"/>
      <c r="E22" s="204"/>
      <c r="F22" s="201"/>
      <c r="G22" s="197"/>
      <c r="H22" s="197"/>
      <c r="I22" s="207"/>
      <c r="M22" s="324"/>
      <c r="P22" s="76"/>
    </row>
    <row r="23" spans="1:17" x14ac:dyDescent="0.25">
      <c r="A23" s="186" t="s">
        <v>61</v>
      </c>
      <c r="B23" s="234"/>
      <c r="C23" s="208"/>
      <c r="D23" s="208"/>
      <c r="E23" s="208"/>
      <c r="F23" s="201"/>
      <c r="G23" s="198"/>
      <c r="H23" s="207"/>
      <c r="I23" s="198"/>
      <c r="M23" s="324"/>
      <c r="P23" s="76"/>
    </row>
    <row r="24" spans="1:17" x14ac:dyDescent="0.25">
      <c r="A24" s="192" t="s">
        <v>53</v>
      </c>
      <c r="B24" s="234"/>
      <c r="C24" s="200">
        <v>1503363</v>
      </c>
      <c r="D24" s="200"/>
      <c r="E24" s="200">
        <f>1340567+M28</f>
        <v>1358198</v>
      </c>
      <c r="F24" s="201"/>
      <c r="G24" s="196">
        <f>(+E24-C24)/C24</f>
        <v>-9.6560178745918324E-2</v>
      </c>
      <c r="H24" s="197"/>
      <c r="I24" s="198">
        <f>+E24/E$162</f>
        <v>2.6886393849948676E-3</v>
      </c>
      <c r="M24" s="324"/>
      <c r="P24" s="76">
        <v>0</v>
      </c>
      <c r="Q24" s="76">
        <v>1230158</v>
      </c>
    </row>
    <row r="25" spans="1:17" x14ac:dyDescent="0.25">
      <c r="A25" s="192" t="s">
        <v>54</v>
      </c>
      <c r="B25" s="234"/>
      <c r="C25" s="200">
        <v>505208</v>
      </c>
      <c r="D25" s="200"/>
      <c r="E25" s="200">
        <v>416001</v>
      </c>
      <c r="F25" s="201"/>
      <c r="G25" s="196">
        <f>(+E25-C25)/C25</f>
        <v>-0.17657479691532993</v>
      </c>
      <c r="H25" s="197"/>
      <c r="I25" s="198">
        <f>+E25/E$162</f>
        <v>8.2350045633791972E-4</v>
      </c>
      <c r="M25" s="324"/>
      <c r="P25" s="76"/>
    </row>
    <row r="26" spans="1:17" x14ac:dyDescent="0.25">
      <c r="A26" s="192" t="s">
        <v>55</v>
      </c>
      <c r="B26" s="234"/>
      <c r="C26" s="200">
        <v>338617</v>
      </c>
      <c r="D26" s="200"/>
      <c r="E26" s="200">
        <v>278201</v>
      </c>
      <c r="F26" s="201"/>
      <c r="G26" s="196">
        <f>(+E26-C26)/C26</f>
        <v>-0.17841986669304849</v>
      </c>
      <c r="H26" s="197"/>
      <c r="I26" s="198">
        <f>+E26/E$162</f>
        <v>5.5071658590644156E-4</v>
      </c>
      <c r="M26" s="324"/>
      <c r="P26" s="76"/>
    </row>
    <row r="27" spans="1:17" x14ac:dyDescent="0.25">
      <c r="A27" s="192" t="s">
        <v>56</v>
      </c>
      <c r="B27" s="234"/>
      <c r="C27" s="200">
        <v>485586</v>
      </c>
      <c r="D27" s="200"/>
      <c r="E27" s="200">
        <v>443982</v>
      </c>
      <c r="F27" s="201"/>
      <c r="G27" s="196">
        <f>(+E27-C27)/C27</f>
        <v>-8.5677923169119374E-2</v>
      </c>
      <c r="H27" s="197"/>
      <c r="I27" s="198">
        <f>+E27/E$162</f>
        <v>8.7889062671922015E-4</v>
      </c>
      <c r="M27" s="324"/>
      <c r="P27" s="76"/>
    </row>
    <row r="28" spans="1:17" x14ac:dyDescent="0.25">
      <c r="A28" s="186" t="s">
        <v>62</v>
      </c>
      <c r="B28" s="234"/>
      <c r="C28" s="203">
        <f>SUM(C24:C27)</f>
        <v>2832774</v>
      </c>
      <c r="D28" s="204"/>
      <c r="E28" s="203">
        <f>SUM(E24:E27)</f>
        <v>2496382</v>
      </c>
      <c r="F28" s="201"/>
      <c r="G28" s="205">
        <f>(+E28-C28)/C28</f>
        <v>-0.11875003088845068</v>
      </c>
      <c r="H28" s="197"/>
      <c r="I28" s="206">
        <f>+E28/E$162</f>
        <v>4.9417470539584486E-3</v>
      </c>
      <c r="M28" s="324">
        <v>17631</v>
      </c>
      <c r="P28" s="76"/>
    </row>
    <row r="29" spans="1:17" x14ac:dyDescent="0.25">
      <c r="A29" s="186"/>
      <c r="B29" s="234"/>
      <c r="C29" s="204"/>
      <c r="D29" s="204"/>
      <c r="E29" s="204"/>
      <c r="F29" s="201"/>
      <c r="G29" s="197"/>
      <c r="H29" s="197"/>
      <c r="I29" s="207"/>
      <c r="M29" s="324"/>
      <c r="P29" s="76"/>
    </row>
    <row r="30" spans="1:17" x14ac:dyDescent="0.25">
      <c r="A30" s="186" t="s">
        <v>63</v>
      </c>
      <c r="B30" s="234"/>
      <c r="C30" s="208"/>
      <c r="D30" s="208"/>
      <c r="E30" s="208"/>
      <c r="F30" s="201"/>
      <c r="G30" s="196"/>
      <c r="H30" s="197"/>
      <c r="I30" s="198"/>
      <c r="M30" s="324"/>
      <c r="P30" s="76"/>
    </row>
    <row r="31" spans="1:17" x14ac:dyDescent="0.25">
      <c r="A31" s="192" t="s">
        <v>53</v>
      </c>
      <c r="B31" s="234"/>
      <c r="C31" s="200">
        <v>10555256</v>
      </c>
      <c r="D31" s="200"/>
      <c r="E31" s="200">
        <f>10056826+M35</f>
        <v>10280655</v>
      </c>
      <c r="F31" s="201"/>
      <c r="G31" s="196">
        <f>(+E31-C31)/C31</f>
        <v>-2.6015569873435566E-2</v>
      </c>
      <c r="H31" s="197"/>
      <c r="I31" s="198">
        <f>+E31/E$162</f>
        <v>2.035121089601399E-2</v>
      </c>
      <c r="M31" s="324"/>
      <c r="P31" s="76">
        <v>0</v>
      </c>
      <c r="Q31" s="76">
        <v>8798752</v>
      </c>
    </row>
    <row r="32" spans="1:17" x14ac:dyDescent="0.25">
      <c r="A32" s="192" t="s">
        <v>54</v>
      </c>
      <c r="B32" s="234"/>
      <c r="C32" s="200">
        <v>291074</v>
      </c>
      <c r="D32" s="200"/>
      <c r="E32" s="200">
        <v>324870</v>
      </c>
      <c r="F32" s="201"/>
      <c r="G32" s="196">
        <f>(+E32-C32)/C32</f>
        <v>0.116107931316435</v>
      </c>
      <c r="H32" s="197"/>
      <c r="I32" s="198">
        <f>+E32/E$162</f>
        <v>6.4310084170590936E-4</v>
      </c>
      <c r="J32" s="322"/>
      <c r="M32" s="324"/>
      <c r="P32" s="76"/>
    </row>
    <row r="33" spans="1:17" x14ac:dyDescent="0.25">
      <c r="A33" s="192" t="s">
        <v>55</v>
      </c>
      <c r="B33" s="234"/>
      <c r="C33" s="200">
        <v>214955</v>
      </c>
      <c r="D33" s="200"/>
      <c r="E33" s="200">
        <v>216347</v>
      </c>
      <c r="F33" s="201"/>
      <c r="G33" s="196">
        <f>(+E33-C33)/C33</f>
        <v>6.4757739992091371E-3</v>
      </c>
      <c r="H33" s="197"/>
      <c r="I33" s="198">
        <f>+E33/E$162</f>
        <v>4.2827265614106677E-4</v>
      </c>
      <c r="M33" s="324"/>
      <c r="P33" s="76"/>
    </row>
    <row r="34" spans="1:17" x14ac:dyDescent="0.25">
      <c r="A34" s="192" t="s">
        <v>56</v>
      </c>
      <c r="B34" s="234"/>
      <c r="C34" s="200">
        <v>174775</v>
      </c>
      <c r="D34" s="200"/>
      <c r="E34" s="200">
        <v>173301</v>
      </c>
      <c r="F34" s="201"/>
      <c r="G34" s="196">
        <f>(+E34-C34)/C34</f>
        <v>-8.4337004720354738E-3</v>
      </c>
      <c r="H34" s="197"/>
      <c r="I34" s="198">
        <f>+E34/E$162</f>
        <v>3.4306035943139037E-4</v>
      </c>
      <c r="M34" s="324"/>
      <c r="P34" s="76"/>
    </row>
    <row r="35" spans="1:17" x14ac:dyDescent="0.25">
      <c r="A35" s="209" t="s">
        <v>64</v>
      </c>
      <c r="B35" s="210"/>
      <c r="C35" s="203">
        <f>SUM(C31:C34)</f>
        <v>11236060</v>
      </c>
      <c r="D35" s="204"/>
      <c r="E35" s="203">
        <f>SUM(E31:E34)</f>
        <v>10995173</v>
      </c>
      <c r="F35" s="201"/>
      <c r="G35" s="205">
        <f>(+E35-C35)/C35</f>
        <v>-2.1438742762142603E-2</v>
      </c>
      <c r="H35" s="197"/>
      <c r="I35" s="206">
        <f>+E35/E$162</f>
        <v>2.1765644753292356E-2</v>
      </c>
      <c r="M35" s="324">
        <v>223829</v>
      </c>
      <c r="P35" s="76"/>
    </row>
    <row r="36" spans="1:17" x14ac:dyDescent="0.25">
      <c r="A36" s="209"/>
      <c r="B36" s="210"/>
      <c r="C36" s="204"/>
      <c r="D36" s="204"/>
      <c r="E36" s="204"/>
      <c r="F36" s="201"/>
      <c r="G36" s="197"/>
      <c r="H36" s="197"/>
      <c r="I36" s="207"/>
      <c r="M36" s="324"/>
      <c r="P36" s="76"/>
    </row>
    <row r="37" spans="1:17" x14ac:dyDescent="0.25">
      <c r="A37" s="186" t="s">
        <v>65</v>
      </c>
      <c r="B37" s="234"/>
      <c r="C37" s="211"/>
      <c r="D37" s="211"/>
      <c r="E37" s="211"/>
      <c r="F37" s="201"/>
      <c r="G37" s="196"/>
      <c r="H37" s="197"/>
      <c r="I37" s="198"/>
      <c r="M37" s="324"/>
      <c r="P37" s="76"/>
    </row>
    <row r="38" spans="1:17" x14ac:dyDescent="0.25">
      <c r="A38" s="192" t="s">
        <v>53</v>
      </c>
      <c r="B38" s="234"/>
      <c r="C38" s="211">
        <v>28136227</v>
      </c>
      <c r="D38" s="211"/>
      <c r="E38" s="200">
        <f>30711661+M42</f>
        <v>31512343</v>
      </c>
      <c r="F38" s="212"/>
      <c r="G38" s="196">
        <f>(+E38-C38)/C38</f>
        <v>0.11999178141404673</v>
      </c>
      <c r="H38" s="197"/>
      <c r="I38" s="198">
        <f>+E38/E$162</f>
        <v>6.2380688605981838E-2</v>
      </c>
      <c r="M38" s="324"/>
      <c r="P38" s="76">
        <v>0</v>
      </c>
      <c r="Q38" s="76">
        <v>26007580</v>
      </c>
    </row>
    <row r="39" spans="1:17" x14ac:dyDescent="0.25">
      <c r="A39" s="192" t="s">
        <v>54</v>
      </c>
      <c r="B39" s="234"/>
      <c r="C39" s="211">
        <v>125316</v>
      </c>
      <c r="D39" s="211"/>
      <c r="E39" s="211">
        <v>153888</v>
      </c>
      <c r="F39" s="212"/>
      <c r="G39" s="196">
        <f>(+E39-C39)/C39</f>
        <v>0.22799961696830412</v>
      </c>
      <c r="H39" s="197"/>
      <c r="I39" s="198">
        <f>+E39/E$162</f>
        <v>3.0463109036980629E-4</v>
      </c>
      <c r="J39" s="322"/>
      <c r="M39" s="324"/>
      <c r="P39" s="76"/>
    </row>
    <row r="40" spans="1:17" x14ac:dyDescent="0.25">
      <c r="A40" s="192" t="s">
        <v>55</v>
      </c>
      <c r="B40" s="234"/>
      <c r="C40" s="211">
        <v>239728</v>
      </c>
      <c r="D40" s="211"/>
      <c r="E40" s="211">
        <v>194624</v>
      </c>
      <c r="F40" s="212"/>
      <c r="G40" s="196">
        <f>(+E40-C40)/C40</f>
        <v>-0.18814656610825603</v>
      </c>
      <c r="H40" s="197"/>
      <c r="I40" s="198">
        <f>+E40/E$162</f>
        <v>3.8527059505701018E-4</v>
      </c>
      <c r="J40" s="322"/>
      <c r="M40" s="324"/>
      <c r="P40" s="76"/>
    </row>
    <row r="41" spans="1:17" x14ac:dyDescent="0.25">
      <c r="A41" s="192" t="s">
        <v>56</v>
      </c>
      <c r="B41" s="234"/>
      <c r="C41" s="211">
        <v>191314</v>
      </c>
      <c r="D41" s="211"/>
      <c r="E41" s="211">
        <v>197707</v>
      </c>
      <c r="F41" s="212"/>
      <c r="G41" s="196">
        <f>(+E41-C41)/C41</f>
        <v>3.3416268542814431E-2</v>
      </c>
      <c r="H41" s="197"/>
      <c r="I41" s="198">
        <f>+E41/E$162</f>
        <v>3.9137358977791182E-4</v>
      </c>
      <c r="J41" s="322"/>
      <c r="M41" s="324"/>
      <c r="P41" s="76"/>
    </row>
    <row r="42" spans="1:17" x14ac:dyDescent="0.25">
      <c r="A42" s="209" t="s">
        <v>66</v>
      </c>
      <c r="B42" s="210"/>
      <c r="C42" s="213">
        <f>SUM(C38:C41)</f>
        <v>28692585</v>
      </c>
      <c r="D42" s="214"/>
      <c r="E42" s="213">
        <f>SUM(E38:E41)</f>
        <v>32058562</v>
      </c>
      <c r="F42" s="212"/>
      <c r="G42" s="205">
        <f>(+E42-C42)/C42</f>
        <v>0.11731173750988277</v>
      </c>
      <c r="H42" s="197"/>
      <c r="I42" s="206">
        <f>+E42/E$162</f>
        <v>6.3461963881186564E-2</v>
      </c>
      <c r="M42" s="324">
        <v>800682</v>
      </c>
      <c r="P42" s="76"/>
    </row>
    <row r="43" spans="1:17" x14ac:dyDescent="0.25">
      <c r="A43" s="209"/>
      <c r="B43" s="210"/>
      <c r="C43" s="214"/>
      <c r="D43" s="214"/>
      <c r="E43" s="214"/>
      <c r="F43" s="212"/>
      <c r="G43" s="197"/>
      <c r="H43" s="197"/>
      <c r="I43" s="207"/>
      <c r="M43" s="324"/>
      <c r="P43" s="76"/>
    </row>
    <row r="44" spans="1:17" x14ac:dyDescent="0.25">
      <c r="A44" s="186" t="s">
        <v>67</v>
      </c>
      <c r="B44" s="234"/>
      <c r="C44" s="208"/>
      <c r="D44" s="208"/>
      <c r="E44" s="208"/>
      <c r="F44" s="188"/>
      <c r="G44" s="215"/>
      <c r="H44" s="216"/>
      <c r="I44" s="217"/>
      <c r="M44" s="324"/>
      <c r="P44" s="76"/>
    </row>
    <row r="45" spans="1:17" x14ac:dyDescent="0.25">
      <c r="A45" s="192" t="s">
        <v>53</v>
      </c>
      <c r="B45" s="234"/>
      <c r="C45" s="200">
        <v>19246442</v>
      </c>
      <c r="D45" s="200"/>
      <c r="E45" s="200">
        <f>22234451+M49</f>
        <v>22710662</v>
      </c>
      <c r="F45" s="218"/>
      <c r="G45" s="196">
        <f>(+E45-C45)/C45</f>
        <v>0.17999274878962043</v>
      </c>
      <c r="H45" s="197"/>
      <c r="I45" s="198">
        <f>+E45/E$162</f>
        <v>4.4957200873883121E-2</v>
      </c>
      <c r="M45" s="324"/>
      <c r="P45" s="76">
        <v>0</v>
      </c>
      <c r="Q45" s="76">
        <v>18806270</v>
      </c>
    </row>
    <row r="46" spans="1:17" x14ac:dyDescent="0.25">
      <c r="A46" s="192" t="s">
        <v>54</v>
      </c>
      <c r="B46" s="234"/>
      <c r="C46" s="200">
        <v>92803</v>
      </c>
      <c r="D46" s="200"/>
      <c r="E46" s="200">
        <v>79372</v>
      </c>
      <c r="F46" s="218"/>
      <c r="G46" s="196">
        <f>(+E46-C46)/C46</f>
        <v>-0.14472592480846524</v>
      </c>
      <c r="H46" s="197"/>
      <c r="I46" s="198">
        <f>+E46/E$162</f>
        <v>1.5712192571761455E-4</v>
      </c>
      <c r="J46" s="322"/>
      <c r="M46" s="324"/>
      <c r="P46" s="76"/>
    </row>
    <row r="47" spans="1:17" x14ac:dyDescent="0.25">
      <c r="A47" s="192" t="s">
        <v>68</v>
      </c>
      <c r="B47" s="234"/>
      <c r="C47" s="200">
        <v>441118</v>
      </c>
      <c r="D47" s="200"/>
      <c r="E47" s="200">
        <v>525779</v>
      </c>
      <c r="F47" s="218"/>
      <c r="G47" s="196">
        <f>(+E47-C47)/C47</f>
        <v>0.19192370295476494</v>
      </c>
      <c r="H47" s="197"/>
      <c r="I47" s="198">
        <f>+E47/E$162</f>
        <v>1.0408129942786077E-3</v>
      </c>
      <c r="J47" s="322"/>
      <c r="M47" s="324"/>
      <c r="P47" s="76"/>
    </row>
    <row r="48" spans="1:17" x14ac:dyDescent="0.25">
      <c r="A48" s="192" t="s">
        <v>56</v>
      </c>
      <c r="B48" s="234"/>
      <c r="C48" s="200">
        <v>38610</v>
      </c>
      <c r="D48" s="200"/>
      <c r="E48" s="200">
        <v>57631</v>
      </c>
      <c r="F48" s="218"/>
      <c r="G48" s="196">
        <f>(+E48-C48)/C48</f>
        <v>0.49264439264439264</v>
      </c>
      <c r="H48" s="197"/>
      <c r="I48" s="198">
        <f>+E48/E$162</f>
        <v>1.1408423248792828E-4</v>
      </c>
      <c r="J48" s="322"/>
      <c r="M48" s="324"/>
      <c r="P48" s="76"/>
    </row>
    <row r="49" spans="1:17" x14ac:dyDescent="0.25">
      <c r="A49" s="186" t="s">
        <v>69</v>
      </c>
      <c r="B49" s="234"/>
      <c r="C49" s="203">
        <f>SUM(C45:C48)</f>
        <v>19818973</v>
      </c>
      <c r="D49" s="204"/>
      <c r="E49" s="203">
        <f>SUM(E45:E48)</f>
        <v>23373444</v>
      </c>
      <c r="F49" s="218"/>
      <c r="G49" s="205">
        <f>(+E49-C49)/C49</f>
        <v>0.17934688139491387</v>
      </c>
      <c r="H49" s="197"/>
      <c r="I49" s="206">
        <f>+E49/E$162</f>
        <v>4.6269220026367276E-2</v>
      </c>
      <c r="M49" s="324">
        <v>476211</v>
      </c>
      <c r="P49" s="76"/>
    </row>
    <row r="50" spans="1:17" x14ac:dyDescent="0.25">
      <c r="A50" s="186"/>
      <c r="B50" s="234"/>
      <c r="C50" s="218"/>
      <c r="D50" s="218"/>
      <c r="E50" s="218"/>
      <c r="F50" s="218"/>
      <c r="G50" s="197"/>
      <c r="H50" s="197"/>
      <c r="I50" s="207"/>
      <c r="M50" s="324"/>
      <c r="P50" s="76"/>
    </row>
    <row r="51" spans="1:17" x14ac:dyDescent="0.25">
      <c r="A51" s="370" t="s">
        <v>0</v>
      </c>
      <c r="B51" s="370"/>
      <c r="C51" s="370"/>
      <c r="D51" s="370"/>
      <c r="E51" s="370"/>
      <c r="F51" s="370"/>
      <c r="G51" s="370"/>
      <c r="H51" s="370"/>
      <c r="I51" s="370"/>
      <c r="M51" s="324"/>
      <c r="P51" s="76"/>
    </row>
    <row r="52" spans="1:17" x14ac:dyDescent="0.25">
      <c r="A52" s="370" t="str">
        <f>+A2</f>
        <v>General Fund</v>
      </c>
      <c r="B52" s="370"/>
      <c r="C52" s="370"/>
      <c r="D52" s="370"/>
      <c r="E52" s="370"/>
      <c r="F52" s="370"/>
      <c r="G52" s="370"/>
      <c r="H52" s="370"/>
      <c r="I52" s="370"/>
      <c r="M52" s="324"/>
      <c r="P52" s="76"/>
    </row>
    <row r="53" spans="1:17" x14ac:dyDescent="0.25">
      <c r="A53" s="367" t="s">
        <v>47</v>
      </c>
      <c r="B53" s="367"/>
      <c r="C53" s="367"/>
      <c r="D53" s="367"/>
      <c r="E53" s="367"/>
      <c r="F53" s="367"/>
      <c r="G53" s="367"/>
      <c r="H53" s="367"/>
      <c r="I53" s="367"/>
      <c r="M53" s="324"/>
      <c r="P53" s="76"/>
    </row>
    <row r="54" spans="1:17" x14ac:dyDescent="0.25">
      <c r="A54" s="367"/>
      <c r="B54" s="367"/>
      <c r="C54" s="367"/>
      <c r="D54" s="367"/>
      <c r="E54" s="367"/>
      <c r="F54" s="367"/>
      <c r="G54" s="367"/>
      <c r="H54" s="367"/>
      <c r="I54" s="367"/>
      <c r="M54" s="324"/>
      <c r="P54" s="76"/>
    </row>
    <row r="55" spans="1:17" x14ac:dyDescent="0.25">
      <c r="A55" s="234"/>
      <c r="B55" s="234"/>
      <c r="C55" s="175" t="str">
        <f>+C5</f>
        <v>General Fund</v>
      </c>
      <c r="D55" s="175"/>
      <c r="E55" s="175" t="str">
        <f>+E5</f>
        <v>General Fund</v>
      </c>
      <c r="F55" s="176"/>
      <c r="G55" s="177" t="s">
        <v>48</v>
      </c>
      <c r="H55" s="178"/>
      <c r="I55" s="179"/>
      <c r="M55" s="324"/>
      <c r="P55" s="76"/>
    </row>
    <row r="56" spans="1:17" x14ac:dyDescent="0.25">
      <c r="A56" s="234"/>
      <c r="B56" s="234"/>
      <c r="C56" s="175" t="str">
        <f>+C6</f>
        <v>Adopted Budget</v>
      </c>
      <c r="D56" s="305"/>
      <c r="E56" s="175" t="str">
        <f>+E6</f>
        <v>DRAFT Budget</v>
      </c>
      <c r="F56" s="181"/>
      <c r="G56" s="177" t="s">
        <v>49</v>
      </c>
      <c r="H56" s="178"/>
      <c r="I56" s="182" t="s">
        <v>48</v>
      </c>
      <c r="M56" s="324"/>
      <c r="P56" s="76"/>
    </row>
    <row r="57" spans="1:17" x14ac:dyDescent="0.25">
      <c r="A57" s="234"/>
      <c r="B57" s="234"/>
      <c r="C57" s="219" t="str">
        <f>+C7</f>
        <v>FY 2018-19</v>
      </c>
      <c r="D57" s="181"/>
      <c r="E57" s="219" t="str">
        <f>+E7</f>
        <v>FY 2019-20</v>
      </c>
      <c r="F57" s="181"/>
      <c r="G57" s="184" t="s">
        <v>50</v>
      </c>
      <c r="H57" s="178"/>
      <c r="I57" s="185" t="s">
        <v>51</v>
      </c>
      <c r="M57" s="324"/>
      <c r="P57" s="76"/>
    </row>
    <row r="58" spans="1:17" x14ac:dyDescent="0.25">
      <c r="A58" s="186" t="s">
        <v>70</v>
      </c>
      <c r="B58" s="234"/>
      <c r="C58" s="187"/>
      <c r="D58" s="187"/>
      <c r="E58" s="187"/>
      <c r="F58" s="188"/>
      <c r="G58" s="196"/>
      <c r="H58" s="197"/>
      <c r="I58" s="198"/>
      <c r="M58" s="324"/>
      <c r="P58" s="76"/>
    </row>
    <row r="59" spans="1:17" x14ac:dyDescent="0.25">
      <c r="A59" s="192" t="s">
        <v>53</v>
      </c>
      <c r="B59" s="234"/>
      <c r="C59" s="194">
        <v>211132</v>
      </c>
      <c r="D59" s="194"/>
      <c r="E59" s="194">
        <f>228623+M61</f>
        <v>233800</v>
      </c>
      <c r="F59" s="204"/>
      <c r="G59" s="196">
        <f>(+E59-C59)/C59</f>
        <v>0.10736411344561696</v>
      </c>
      <c r="H59" s="197"/>
      <c r="I59" s="198">
        <f>+E59/E$162</f>
        <v>4.6282198045631052E-4</v>
      </c>
      <c r="M59" s="324"/>
      <c r="P59" s="76">
        <v>0</v>
      </c>
      <c r="Q59" s="76">
        <v>192534</v>
      </c>
    </row>
    <row r="60" spans="1:17" x14ac:dyDescent="0.25">
      <c r="A60" s="192" t="s">
        <v>68</v>
      </c>
      <c r="B60" s="234"/>
      <c r="C60" s="200">
        <v>3000</v>
      </c>
      <c r="D60" s="200"/>
      <c r="E60" s="200">
        <v>3000</v>
      </c>
      <c r="F60" s="204"/>
      <c r="G60" s="196">
        <f>(+E60-C60)/C60</f>
        <v>0</v>
      </c>
      <c r="H60" s="197"/>
      <c r="I60" s="198">
        <f>+E60/E$162</f>
        <v>5.938690938276012E-6</v>
      </c>
      <c r="M60" s="324"/>
      <c r="P60" s="76"/>
    </row>
    <row r="61" spans="1:17" x14ac:dyDescent="0.25">
      <c r="A61" s="186" t="s">
        <v>71</v>
      </c>
      <c r="B61" s="234"/>
      <c r="C61" s="203">
        <f>SUM(C59:C60)</f>
        <v>214132</v>
      </c>
      <c r="D61" s="204"/>
      <c r="E61" s="203">
        <f>SUM(E59:E60)</f>
        <v>236800</v>
      </c>
      <c r="F61" s="204"/>
      <c r="G61" s="205">
        <f>(+E61-C61)/C61</f>
        <v>0.10585993686137522</v>
      </c>
      <c r="H61" s="197"/>
      <c r="I61" s="206">
        <f>+E61/E$162</f>
        <v>4.6876067139458655E-4</v>
      </c>
      <c r="M61" s="324">
        <v>5177</v>
      </c>
      <c r="P61" s="76"/>
    </row>
    <row r="62" spans="1:17" x14ac:dyDescent="0.25">
      <c r="A62" s="186"/>
      <c r="B62" s="234"/>
      <c r="C62" s="208"/>
      <c r="D62" s="208"/>
      <c r="E62" s="208"/>
      <c r="F62" s="220"/>
      <c r="G62" s="196"/>
      <c r="H62" s="197"/>
      <c r="I62" s="198"/>
      <c r="M62" s="324"/>
      <c r="P62" s="76"/>
    </row>
    <row r="63" spans="1:17" x14ac:dyDescent="0.25">
      <c r="A63" s="186" t="s">
        <v>72</v>
      </c>
      <c r="B63" s="234"/>
      <c r="C63" s="208"/>
      <c r="D63" s="208"/>
      <c r="E63" s="208"/>
      <c r="F63" s="220"/>
      <c r="G63" s="196"/>
      <c r="H63" s="197"/>
      <c r="I63" s="198"/>
      <c r="M63" s="324"/>
      <c r="P63" s="76"/>
    </row>
    <row r="64" spans="1:17" x14ac:dyDescent="0.25">
      <c r="A64" s="192" t="s">
        <v>53</v>
      </c>
      <c r="B64" s="234"/>
      <c r="C64" s="200">
        <v>4743637</v>
      </c>
      <c r="D64" s="200"/>
      <c r="E64" s="200">
        <f>5322130+M68</f>
        <v>5435084</v>
      </c>
      <c r="F64" s="204"/>
      <c r="G64" s="196">
        <f>(+E64-C64)/C64</f>
        <v>0.14576305058755551</v>
      </c>
      <c r="H64" s="197"/>
      <c r="I64" s="198">
        <f>+E64/E$162</f>
        <v>1.0759094699856314E-2</v>
      </c>
      <c r="M64" s="324"/>
      <c r="P64" s="76">
        <v>0</v>
      </c>
      <c r="Q64" s="76">
        <v>4526294</v>
      </c>
    </row>
    <row r="65" spans="1:17" x14ac:dyDescent="0.25">
      <c r="A65" s="192" t="s">
        <v>54</v>
      </c>
      <c r="B65" s="234"/>
      <c r="C65" s="200">
        <v>8615</v>
      </c>
      <c r="D65" s="200"/>
      <c r="E65" s="200">
        <v>12300</v>
      </c>
      <c r="F65" s="204"/>
      <c r="G65" s="196">
        <f>(+E65-C65)/C65</f>
        <v>0.4277423099245502</v>
      </c>
      <c r="H65" s="197"/>
      <c r="I65" s="198">
        <f>+E65/E$162</f>
        <v>2.4348632846931649E-5</v>
      </c>
      <c r="M65" s="324"/>
      <c r="P65" s="76"/>
    </row>
    <row r="66" spans="1:17" x14ac:dyDescent="0.25">
      <c r="A66" s="192" t="s">
        <v>68</v>
      </c>
      <c r="B66" s="234"/>
      <c r="C66" s="200">
        <v>128625</v>
      </c>
      <c r="D66" s="200"/>
      <c r="E66" s="200">
        <v>125884</v>
      </c>
      <c r="F66" s="204"/>
      <c r="G66" s="196">
        <f>(+E66-C66)/C66</f>
        <v>-2.1310009718172984E-2</v>
      </c>
      <c r="H66" s="197"/>
      <c r="I66" s="198">
        <f>+E66/E$162</f>
        <v>2.4919539002464584E-4</v>
      </c>
      <c r="M66" s="324"/>
      <c r="P66" s="76"/>
    </row>
    <row r="67" spans="1:17" x14ac:dyDescent="0.25">
      <c r="A67" s="192" t="s">
        <v>56</v>
      </c>
      <c r="B67" s="234"/>
      <c r="C67" s="200">
        <v>14317</v>
      </c>
      <c r="D67" s="200"/>
      <c r="E67" s="200">
        <v>12732</v>
      </c>
      <c r="F67" s="204"/>
      <c r="G67" s="196">
        <f>(+E67-C67)/C67</f>
        <v>-0.11070755046448279</v>
      </c>
      <c r="H67" s="197"/>
      <c r="I67" s="198">
        <f>+E67/E$162</f>
        <v>2.5203804342043395E-5</v>
      </c>
      <c r="M67" s="324"/>
      <c r="P67" s="76"/>
    </row>
    <row r="68" spans="1:17" x14ac:dyDescent="0.25">
      <c r="A68" s="209" t="s">
        <v>73</v>
      </c>
      <c r="B68" s="210"/>
      <c r="C68" s="203">
        <f>SUM(C64:C67)</f>
        <v>4895194</v>
      </c>
      <c r="D68" s="204"/>
      <c r="E68" s="203">
        <f>SUM(E64:E67)</f>
        <v>5586000</v>
      </c>
      <c r="F68" s="204"/>
      <c r="G68" s="205">
        <f>(+E68-C68)/C68</f>
        <v>0.14111922836970303</v>
      </c>
      <c r="H68" s="197"/>
      <c r="I68" s="206">
        <f>+E68/E$162</f>
        <v>1.1057842527069935E-2</v>
      </c>
      <c r="M68" s="324">
        <v>112954</v>
      </c>
      <c r="P68" s="76"/>
    </row>
    <row r="69" spans="1:17" x14ac:dyDescent="0.25">
      <c r="A69" s="234"/>
      <c r="B69" s="234"/>
      <c r="C69" s="208"/>
      <c r="D69" s="208"/>
      <c r="E69" s="208"/>
      <c r="F69" s="220"/>
      <c r="G69" s="196"/>
      <c r="H69" s="197"/>
      <c r="I69" s="198"/>
      <c r="M69" s="324"/>
      <c r="P69" s="76"/>
    </row>
    <row r="70" spans="1:17" x14ac:dyDescent="0.25">
      <c r="A70" s="186" t="s">
        <v>74</v>
      </c>
      <c r="B70" s="234"/>
      <c r="C70" s="208"/>
      <c r="D70" s="208"/>
      <c r="E70" s="208"/>
      <c r="F70" s="220"/>
      <c r="G70" s="196"/>
      <c r="H70" s="197"/>
      <c r="I70" s="198"/>
      <c r="M70" s="324"/>
      <c r="P70" s="76"/>
    </row>
    <row r="71" spans="1:17" x14ac:dyDescent="0.25">
      <c r="A71" s="192" t="s">
        <v>53</v>
      </c>
      <c r="B71" s="234"/>
      <c r="C71" s="200">
        <v>39099</v>
      </c>
      <c r="D71" s="200"/>
      <c r="E71" s="200">
        <f>36012+M73</f>
        <v>36826</v>
      </c>
      <c r="F71" s="204"/>
      <c r="G71" s="196">
        <f>(+E71-C71)/C71</f>
        <v>-5.8134479142689072E-2</v>
      </c>
      <c r="H71" s="197"/>
      <c r="I71" s="198">
        <f>+E71/E$162</f>
        <v>7.2899410830984135E-5</v>
      </c>
      <c r="M71" s="324"/>
      <c r="P71" s="76">
        <v>0</v>
      </c>
      <c r="Q71" s="76">
        <v>27903</v>
      </c>
    </row>
    <row r="72" spans="1:17" x14ac:dyDescent="0.25">
      <c r="A72" s="192" t="s">
        <v>54</v>
      </c>
      <c r="B72" s="234"/>
      <c r="C72" s="200">
        <v>15169990</v>
      </c>
      <c r="D72" s="200"/>
      <c r="E72" s="200">
        <v>16053538</v>
      </c>
      <c r="F72" s="204"/>
      <c r="G72" s="196">
        <f>(+E72-C72)/C72</f>
        <v>5.8243149797725643E-2</v>
      </c>
      <c r="H72" s="197"/>
      <c r="I72" s="198">
        <f>+E72/E$162</f>
        <v>3.1779000215956539E-2</v>
      </c>
      <c r="J72" s="322"/>
      <c r="M72" s="324"/>
      <c r="P72" s="76"/>
    </row>
    <row r="73" spans="1:17" x14ac:dyDescent="0.25">
      <c r="A73" s="209" t="s">
        <v>75</v>
      </c>
      <c r="B73" s="210"/>
      <c r="C73" s="203">
        <f>SUM(C71:C72)</f>
        <v>15209089</v>
      </c>
      <c r="D73" s="204"/>
      <c r="E73" s="203">
        <f>SUM(E71:E72)</f>
        <v>16090364</v>
      </c>
      <c r="F73" s="204"/>
      <c r="G73" s="205">
        <f>(+E73-C73)/C73</f>
        <v>5.7943970214126568E-2</v>
      </c>
      <c r="H73" s="197"/>
      <c r="I73" s="206">
        <f>+E73/E$162</f>
        <v>3.1851899626787521E-2</v>
      </c>
      <c r="M73" s="324">
        <v>814</v>
      </c>
      <c r="P73" s="76"/>
    </row>
    <row r="74" spans="1:17" x14ac:dyDescent="0.25">
      <c r="A74" s="209"/>
      <c r="B74" s="210"/>
      <c r="C74" s="204"/>
      <c r="D74" s="204"/>
      <c r="E74" s="204"/>
      <c r="F74" s="204"/>
      <c r="G74" s="197"/>
      <c r="H74" s="197"/>
      <c r="I74" s="207"/>
      <c r="M74" s="324"/>
      <c r="P74" s="76"/>
    </row>
    <row r="75" spans="1:17" hidden="1" x14ac:dyDescent="0.25">
      <c r="A75" s="186" t="s">
        <v>97</v>
      </c>
      <c r="B75" s="234"/>
      <c r="C75" s="208"/>
      <c r="D75" s="208"/>
      <c r="E75" s="208"/>
      <c r="F75" s="220"/>
      <c r="G75" s="196"/>
      <c r="H75" s="197"/>
      <c r="I75" s="198"/>
      <c r="M75" s="324"/>
      <c r="P75" s="76"/>
    </row>
    <row r="76" spans="1:17" hidden="1" x14ac:dyDescent="0.25">
      <c r="A76" s="192" t="s">
        <v>68</v>
      </c>
      <c r="B76" s="234"/>
      <c r="C76" s="200">
        <v>0</v>
      </c>
      <c r="D76" s="200"/>
      <c r="E76" s="200">
        <v>0</v>
      </c>
      <c r="F76" s="204"/>
      <c r="G76" s="196" t="str">
        <f>IF(C76=0,"n/a",(+E76-C76)/C76)</f>
        <v>n/a</v>
      </c>
      <c r="H76" s="197"/>
      <c r="I76" s="198">
        <f>+E76/E$162</f>
        <v>0</v>
      </c>
      <c r="M76" s="324"/>
      <c r="P76" s="76"/>
    </row>
    <row r="77" spans="1:17" hidden="1" x14ac:dyDescent="0.25">
      <c r="A77" s="209" t="s">
        <v>96</v>
      </c>
      <c r="B77" s="210"/>
      <c r="C77" s="203">
        <f>SUM(C76:C76)</f>
        <v>0</v>
      </c>
      <c r="D77" s="204"/>
      <c r="E77" s="203">
        <f>SUM(E76:E76)</f>
        <v>0</v>
      </c>
      <c r="F77" s="204"/>
      <c r="G77" s="205" t="str">
        <f>IF(C77=0,"n/a",(+E77-C77)/C77)</f>
        <v>n/a</v>
      </c>
      <c r="H77" s="197"/>
      <c r="I77" s="206">
        <f>+E77/E$162</f>
        <v>0</v>
      </c>
      <c r="M77" s="324"/>
      <c r="P77" s="76"/>
    </row>
    <row r="78" spans="1:17" hidden="1" x14ac:dyDescent="0.25">
      <c r="A78" s="209"/>
      <c r="B78" s="210"/>
      <c r="C78" s="204"/>
      <c r="D78" s="204"/>
      <c r="E78" s="204"/>
      <c r="F78" s="204"/>
      <c r="G78" s="197"/>
      <c r="H78" s="197"/>
      <c r="I78" s="207"/>
      <c r="M78" s="324"/>
      <c r="P78" s="76"/>
    </row>
    <row r="79" spans="1:17" x14ac:dyDescent="0.25">
      <c r="A79" s="186" t="s">
        <v>97</v>
      </c>
      <c r="B79" s="234"/>
      <c r="C79" s="208"/>
      <c r="D79" s="208"/>
      <c r="E79" s="208"/>
      <c r="F79" s="220"/>
      <c r="G79" s="196"/>
      <c r="H79" s="197"/>
      <c r="I79" s="198"/>
      <c r="M79" s="324"/>
      <c r="P79" s="76"/>
    </row>
    <row r="80" spans="1:17" x14ac:dyDescent="0.25">
      <c r="A80" s="192" t="s">
        <v>53</v>
      </c>
      <c r="B80" s="234"/>
      <c r="C80" s="200">
        <v>39099</v>
      </c>
      <c r="D80" s="200"/>
      <c r="E80" s="200">
        <f>36012+M81</f>
        <v>36826</v>
      </c>
      <c r="F80" s="204"/>
      <c r="G80" s="196">
        <f>(+E80-C80)/C80</f>
        <v>-5.8134479142689072E-2</v>
      </c>
      <c r="H80" s="197"/>
      <c r="I80" s="198">
        <f>+E80/E$162</f>
        <v>7.2899410830984135E-5</v>
      </c>
      <c r="M80" s="324"/>
      <c r="P80" s="76">
        <v>0</v>
      </c>
      <c r="Q80" s="76">
        <v>27903</v>
      </c>
    </row>
    <row r="81" spans="1:18" x14ac:dyDescent="0.25">
      <c r="A81" s="209" t="s">
        <v>96</v>
      </c>
      <c r="B81" s="210"/>
      <c r="C81" s="203">
        <f>SUM(C80)</f>
        <v>39099</v>
      </c>
      <c r="D81" s="204"/>
      <c r="E81" s="203">
        <f>SUM(E80)</f>
        <v>36826</v>
      </c>
      <c r="F81" s="204"/>
      <c r="G81" s="205">
        <f>(+E81-C81)/C81</f>
        <v>-5.8134479142689072E-2</v>
      </c>
      <c r="H81" s="197"/>
      <c r="I81" s="206">
        <f>+E81/E$162</f>
        <v>7.2899410830984135E-5</v>
      </c>
      <c r="M81" s="324">
        <v>814</v>
      </c>
      <c r="P81" s="76"/>
    </row>
    <row r="82" spans="1:18" x14ac:dyDescent="0.25">
      <c r="A82" s="209"/>
      <c r="B82" s="210"/>
      <c r="C82" s="204"/>
      <c r="D82" s="204"/>
      <c r="E82" s="204"/>
      <c r="F82" s="204"/>
      <c r="G82" s="197"/>
      <c r="H82" s="197"/>
      <c r="I82" s="207"/>
      <c r="M82" s="324"/>
      <c r="P82" s="76"/>
    </row>
    <row r="83" spans="1:18" x14ac:dyDescent="0.25">
      <c r="A83" s="186" t="s">
        <v>76</v>
      </c>
      <c r="B83" s="234"/>
      <c r="C83" s="208"/>
      <c r="D83" s="208"/>
      <c r="E83" s="208"/>
      <c r="F83" s="220"/>
      <c r="G83" s="196"/>
      <c r="H83" s="197"/>
      <c r="I83" s="198"/>
      <c r="M83" s="324"/>
      <c r="P83" s="76"/>
    </row>
    <row r="84" spans="1:18" x14ac:dyDescent="0.25">
      <c r="A84" s="192" t="s">
        <v>53</v>
      </c>
      <c r="B84" s="234"/>
      <c r="C84" s="200">
        <v>6126576</v>
      </c>
      <c r="D84" s="200"/>
      <c r="E84" s="200">
        <f>7031166+M89</f>
        <v>7062110</v>
      </c>
      <c r="F84" s="204"/>
      <c r="G84" s="196">
        <f t="shared" ref="G84:G89" si="2">(+E84-C84)/C84</f>
        <v>0.15270095400758923</v>
      </c>
      <c r="H84" s="197"/>
      <c r="I84" s="198">
        <f t="shared" ref="I84:I89" si="3">+E84/E$162</f>
        <v>1.3979896220702802E-2</v>
      </c>
      <c r="J84" s="322"/>
      <c r="M84" s="324"/>
      <c r="P84" s="76">
        <v>3799834</v>
      </c>
      <c r="Q84" s="76">
        <v>1836615</v>
      </c>
      <c r="R84" s="56" t="s">
        <v>216</v>
      </c>
    </row>
    <row r="85" spans="1:18" x14ac:dyDescent="0.25">
      <c r="A85" s="192" t="s">
        <v>54</v>
      </c>
      <c r="B85" s="234"/>
      <c r="C85" s="200">
        <v>629270</v>
      </c>
      <c r="D85" s="200"/>
      <c r="E85" s="200">
        <v>620570</v>
      </c>
      <c r="F85" s="204"/>
      <c r="G85" s="196">
        <f t="shared" si="2"/>
        <v>-1.382554388418326E-2</v>
      </c>
      <c r="H85" s="197"/>
      <c r="I85" s="198">
        <f t="shared" si="3"/>
        <v>1.2284578118553148E-3</v>
      </c>
      <c r="M85" s="324"/>
      <c r="P85" s="76"/>
    </row>
    <row r="86" spans="1:18" x14ac:dyDescent="0.25">
      <c r="A86" s="192" t="s">
        <v>68</v>
      </c>
      <c r="B86" s="234"/>
      <c r="C86" s="200">
        <v>2517873</v>
      </c>
      <c r="D86" s="200"/>
      <c r="E86" s="200">
        <v>2569806</v>
      </c>
      <c r="F86" s="204"/>
      <c r="G86" s="196">
        <f t="shared" si="2"/>
        <v>2.0625742442132704E-2</v>
      </c>
      <c r="H86" s="197"/>
      <c r="I86" s="198">
        <f t="shared" si="3"/>
        <v>5.0870945351091084E-3</v>
      </c>
      <c r="M86" s="324"/>
      <c r="P86" s="76"/>
    </row>
    <row r="87" spans="1:18" x14ac:dyDescent="0.25">
      <c r="A87" s="192" t="s">
        <v>56</v>
      </c>
      <c r="B87" s="234"/>
      <c r="C87" s="200">
        <v>2218215</v>
      </c>
      <c r="D87" s="200"/>
      <c r="E87" s="200">
        <f>1969672+5000</f>
        <v>1974672</v>
      </c>
      <c r="F87" s="204"/>
      <c r="G87" s="196">
        <f t="shared" si="2"/>
        <v>-0.10979233302452648</v>
      </c>
      <c r="H87" s="197"/>
      <c r="I87" s="198">
        <f t="shared" si="3"/>
        <v>3.9089889041557897E-3</v>
      </c>
      <c r="M87" s="324"/>
      <c r="P87" s="76"/>
    </row>
    <row r="88" spans="1:18" hidden="1" x14ac:dyDescent="0.25">
      <c r="A88" s="192" t="s">
        <v>57</v>
      </c>
      <c r="B88" s="234"/>
      <c r="C88" s="200">
        <v>0</v>
      </c>
      <c r="D88" s="200"/>
      <c r="E88" s="200">
        <v>0</v>
      </c>
      <c r="F88" s="204"/>
      <c r="G88" s="196" t="e">
        <f t="shared" si="2"/>
        <v>#DIV/0!</v>
      </c>
      <c r="H88" s="197"/>
      <c r="I88" s="198">
        <f t="shared" si="3"/>
        <v>0</v>
      </c>
      <c r="M88" s="324"/>
      <c r="P88" s="76"/>
    </row>
    <row r="89" spans="1:18" x14ac:dyDescent="0.25">
      <c r="A89" s="209" t="s">
        <v>77</v>
      </c>
      <c r="B89" s="210"/>
      <c r="C89" s="203">
        <f>SUM(C84:C88)</f>
        <v>11491934</v>
      </c>
      <c r="D89" s="204"/>
      <c r="E89" s="203">
        <f>SUM(E84:E88)</f>
        <v>12227158</v>
      </c>
      <c r="F89" s="204"/>
      <c r="G89" s="205">
        <f t="shared" si="2"/>
        <v>6.3977394927607484E-2</v>
      </c>
      <c r="H89" s="197"/>
      <c r="I89" s="206">
        <f t="shared" si="3"/>
        <v>2.4204437471823013E-2</v>
      </c>
      <c r="M89" s="324">
        <v>30944</v>
      </c>
      <c r="P89" s="76"/>
    </row>
    <row r="90" spans="1:18" x14ac:dyDescent="0.25">
      <c r="A90" s="234"/>
      <c r="B90" s="234"/>
      <c r="C90" s="208"/>
      <c r="D90" s="208"/>
      <c r="E90" s="208"/>
      <c r="F90" s="220"/>
      <c r="G90" s="196"/>
      <c r="H90" s="197"/>
      <c r="I90" s="198"/>
      <c r="M90" s="324"/>
      <c r="P90" s="76"/>
    </row>
    <row r="91" spans="1:18" x14ac:dyDescent="0.25">
      <c r="A91" s="186" t="s">
        <v>78</v>
      </c>
      <c r="B91" s="234"/>
      <c r="C91" s="208"/>
      <c r="D91" s="208"/>
      <c r="E91" s="208"/>
      <c r="F91" s="220"/>
      <c r="G91" s="196"/>
      <c r="H91" s="197"/>
      <c r="I91" s="198"/>
      <c r="M91" s="324"/>
      <c r="P91" s="76"/>
    </row>
    <row r="92" spans="1:18" x14ac:dyDescent="0.25">
      <c r="A92" s="192" t="s">
        <v>53</v>
      </c>
      <c r="B92" s="234"/>
      <c r="C92" s="200">
        <v>8200701</v>
      </c>
      <c r="D92" s="200"/>
      <c r="E92" s="200">
        <f>7908736+M96</f>
        <v>8206914</v>
      </c>
      <c r="F92" s="204"/>
      <c r="G92" s="196">
        <f>(+E92-C92)/C92</f>
        <v>7.5761815971585843E-4</v>
      </c>
      <c r="H92" s="197"/>
      <c r="I92" s="198">
        <f>+E92/E$162</f>
        <v>1.6246108601003513E-2</v>
      </c>
      <c r="M92" s="324"/>
      <c r="P92" s="76">
        <v>0</v>
      </c>
      <c r="Q92" s="76">
        <v>6845451</v>
      </c>
    </row>
    <row r="93" spans="1:18" x14ac:dyDescent="0.25">
      <c r="A93" s="192" t="s">
        <v>54</v>
      </c>
      <c r="B93" s="234"/>
      <c r="C93" s="200">
        <v>1627640</v>
      </c>
      <c r="D93" s="200"/>
      <c r="E93" s="200">
        <v>1601993</v>
      </c>
      <c r="F93" s="204"/>
      <c r="G93" s="196">
        <f>(+E93-C93)/C93</f>
        <v>-1.57571698901477E-2</v>
      </c>
      <c r="H93" s="197"/>
      <c r="I93" s="198">
        <f>+E93/E$162</f>
        <v>3.1712471040938675E-3</v>
      </c>
      <c r="M93" s="324"/>
      <c r="P93" s="76"/>
    </row>
    <row r="94" spans="1:18" x14ac:dyDescent="0.25">
      <c r="A94" s="192" t="s">
        <v>68</v>
      </c>
      <c r="B94" s="234"/>
      <c r="C94" s="200">
        <v>351269</v>
      </c>
      <c r="D94" s="200"/>
      <c r="E94" s="200">
        <v>364459</v>
      </c>
      <c r="F94" s="204"/>
      <c r="G94" s="196">
        <f>(+E94-C94)/C94</f>
        <v>3.7549570272355372E-2</v>
      </c>
      <c r="H94" s="197"/>
      <c r="I94" s="198">
        <f>+E94/E$162</f>
        <v>7.2146978689104568E-4</v>
      </c>
      <c r="M94" s="324"/>
      <c r="P94" s="76"/>
    </row>
    <row r="95" spans="1:18" x14ac:dyDescent="0.25">
      <c r="A95" s="192" t="s">
        <v>56</v>
      </c>
      <c r="B95" s="234"/>
      <c r="C95" s="200">
        <v>1084864</v>
      </c>
      <c r="D95" s="200"/>
      <c r="E95" s="200">
        <f>925224+5000</f>
        <v>930224</v>
      </c>
      <c r="F95" s="204"/>
      <c r="G95" s="196">
        <f>(+E95-C95)/C95</f>
        <v>-0.14254321278980592</v>
      </c>
      <c r="H95" s="197"/>
      <c r="I95" s="198">
        <f>+E95/E$162</f>
        <v>1.8414376131222882E-3</v>
      </c>
      <c r="M95" s="324"/>
      <c r="P95" s="76"/>
    </row>
    <row r="96" spans="1:18" x14ac:dyDescent="0.25">
      <c r="A96" s="209" t="s">
        <v>79</v>
      </c>
      <c r="B96" s="210"/>
      <c r="C96" s="203">
        <f>SUM(C92:C95)</f>
        <v>11264474</v>
      </c>
      <c r="D96" s="204"/>
      <c r="E96" s="203">
        <f>SUM(E92:E95)</f>
        <v>11103590</v>
      </c>
      <c r="F96" s="204"/>
      <c r="G96" s="205">
        <f>(+E96-C96)/C96</f>
        <v>-1.4282424549961233E-2</v>
      </c>
      <c r="H96" s="197"/>
      <c r="I96" s="206">
        <f>+E96/E$162</f>
        <v>2.1980263105110715E-2</v>
      </c>
      <c r="M96" s="324">
        <v>298178</v>
      </c>
      <c r="P96" s="76"/>
    </row>
    <row r="97" spans="1:22" x14ac:dyDescent="0.25">
      <c r="A97" s="234"/>
      <c r="B97" s="234"/>
      <c r="C97" s="211"/>
      <c r="D97" s="211"/>
      <c r="E97" s="211"/>
      <c r="F97" s="214"/>
      <c r="G97" s="221"/>
      <c r="H97" s="222"/>
      <c r="I97" s="223"/>
      <c r="M97" s="324"/>
      <c r="P97" s="76"/>
    </row>
    <row r="98" spans="1:22" x14ac:dyDescent="0.25">
      <c r="A98" s="186" t="s">
        <v>189</v>
      </c>
      <c r="B98" s="234"/>
      <c r="C98" s="208"/>
      <c r="D98" s="208"/>
      <c r="E98" s="208"/>
      <c r="F98" s="220"/>
      <c r="G98" s="215"/>
      <c r="H98" s="216"/>
      <c r="I98" s="217"/>
      <c r="M98" s="324"/>
      <c r="P98" s="76"/>
    </row>
    <row r="99" spans="1:22" x14ac:dyDescent="0.25">
      <c r="A99" s="192" t="s">
        <v>80</v>
      </c>
      <c r="B99" s="234"/>
      <c r="C99" s="200">
        <v>8333607</v>
      </c>
      <c r="D99" s="200"/>
      <c r="E99" s="200">
        <f>7608038+M104</f>
        <v>7756962</v>
      </c>
      <c r="F99" s="204"/>
      <c r="G99" s="196">
        <f t="shared" ref="G99:G104" si="4">(+E99-C99)/C99</f>
        <v>-6.9195127632008566E-2</v>
      </c>
      <c r="H99" s="197"/>
      <c r="I99" s="198">
        <f t="shared" ref="I99:I104" si="5">+E99/E$162</f>
        <v>1.5355399979317123E-2</v>
      </c>
      <c r="M99" s="324"/>
      <c r="P99" s="76">
        <v>0</v>
      </c>
      <c r="Q99" s="76">
        <v>6708503</v>
      </c>
    </row>
    <row r="100" spans="1:22" x14ac:dyDescent="0.25">
      <c r="A100" s="192" t="s">
        <v>54</v>
      </c>
      <c r="B100" s="234"/>
      <c r="C100" s="200">
        <v>31531239</v>
      </c>
      <c r="D100" s="200"/>
      <c r="E100" s="200">
        <v>29791386</v>
      </c>
      <c r="F100" s="204"/>
      <c r="G100" s="196">
        <f t="shared" si="4"/>
        <v>-5.5178707059370551E-2</v>
      </c>
      <c r="H100" s="197"/>
      <c r="I100" s="198">
        <f t="shared" si="5"/>
        <v>5.8973944692294278E-2</v>
      </c>
      <c r="J100" s="322"/>
      <c r="M100" s="324"/>
      <c r="P100" s="76"/>
      <c r="R100" s="76">
        <v>0</v>
      </c>
      <c r="S100" s="31" t="s">
        <v>207</v>
      </c>
      <c r="T100" s="31"/>
      <c r="U100" s="31"/>
      <c r="V100" s="169"/>
    </row>
    <row r="101" spans="1:22" x14ac:dyDescent="0.25">
      <c r="A101" s="192" t="s">
        <v>68</v>
      </c>
      <c r="B101" s="234"/>
      <c r="C101" s="200">
        <v>2488772</v>
      </c>
      <c r="D101" s="200"/>
      <c r="E101" s="200">
        <v>2312522</v>
      </c>
      <c r="F101" s="204"/>
      <c r="G101" s="196">
        <f t="shared" si="4"/>
        <v>-7.081805806236971E-2</v>
      </c>
      <c r="H101" s="197"/>
      <c r="I101" s="198">
        <f t="shared" si="5"/>
        <v>4.5777844819879735E-3</v>
      </c>
      <c r="M101" s="324"/>
      <c r="P101" s="76"/>
    </row>
    <row r="102" spans="1:22" x14ac:dyDescent="0.25">
      <c r="A102" s="192" t="s">
        <v>56</v>
      </c>
      <c r="B102" s="234"/>
      <c r="C102" s="200">
        <v>1382860</v>
      </c>
      <c r="D102" s="200"/>
      <c r="E102" s="200">
        <v>3382860</v>
      </c>
      <c r="F102" s="204"/>
      <c r="G102" s="196">
        <f t="shared" si="4"/>
        <v>1.446278003557844</v>
      </c>
      <c r="H102" s="197"/>
      <c r="I102" s="198">
        <f t="shared" si="5"/>
        <v>6.6965866758187968E-3</v>
      </c>
      <c r="J102" s="322"/>
      <c r="M102" s="324"/>
      <c r="P102" s="76"/>
    </row>
    <row r="103" spans="1:22" x14ac:dyDescent="0.25">
      <c r="A103" s="192" t="s">
        <v>57</v>
      </c>
      <c r="B103" s="234"/>
      <c r="C103" s="200">
        <v>210000</v>
      </c>
      <c r="D103" s="200"/>
      <c r="E103" s="200">
        <v>210000</v>
      </c>
      <c r="F103" s="204"/>
      <c r="G103" s="196">
        <f t="shared" si="4"/>
        <v>0</v>
      </c>
      <c r="H103" s="197"/>
      <c r="I103" s="198">
        <f t="shared" si="5"/>
        <v>4.1570836567932085E-4</v>
      </c>
      <c r="M103" s="324"/>
      <c r="P103" s="76"/>
    </row>
    <row r="104" spans="1:22" x14ac:dyDescent="0.25">
      <c r="A104" s="209" t="s">
        <v>81</v>
      </c>
      <c r="B104" s="210"/>
      <c r="C104" s="203">
        <f>SUM(C99:C103)</f>
        <v>43946478</v>
      </c>
      <c r="D104" s="204"/>
      <c r="E104" s="203">
        <f>SUM(E99:E103)</f>
        <v>43453730</v>
      </c>
      <c r="F104" s="204"/>
      <c r="G104" s="205">
        <f t="shared" si="4"/>
        <v>-1.1212457116586225E-2</v>
      </c>
      <c r="H104" s="197"/>
      <c r="I104" s="206">
        <f t="shared" si="5"/>
        <v>8.6019424195097491E-2</v>
      </c>
      <c r="M104" s="324">
        <v>148924</v>
      </c>
      <c r="P104" s="76"/>
    </row>
    <row r="105" spans="1:22" x14ac:dyDescent="0.25">
      <c r="A105" s="234"/>
      <c r="B105" s="234"/>
      <c r="C105" s="187"/>
      <c r="D105" s="187"/>
      <c r="E105" s="187"/>
      <c r="F105" s="188"/>
      <c r="G105" s="196"/>
      <c r="H105" s="197"/>
      <c r="I105" s="198"/>
      <c r="M105" s="324"/>
      <c r="P105" s="76"/>
    </row>
    <row r="106" spans="1:22" x14ac:dyDescent="0.25">
      <c r="A106" s="370" t="s">
        <v>0</v>
      </c>
      <c r="B106" s="370"/>
      <c r="C106" s="370"/>
      <c r="D106" s="370"/>
      <c r="E106" s="370"/>
      <c r="F106" s="370"/>
      <c r="G106" s="370"/>
      <c r="H106" s="370"/>
      <c r="I106" s="370"/>
      <c r="M106" s="324"/>
      <c r="P106" s="76"/>
    </row>
    <row r="107" spans="1:22" x14ac:dyDescent="0.25">
      <c r="A107" s="370" t="str">
        <f>+A2</f>
        <v>General Fund</v>
      </c>
      <c r="B107" s="370"/>
      <c r="C107" s="370"/>
      <c r="D107" s="370"/>
      <c r="E107" s="370"/>
      <c r="F107" s="370"/>
      <c r="G107" s="370"/>
      <c r="H107" s="370"/>
      <c r="I107" s="370"/>
      <c r="M107" s="324"/>
      <c r="P107" s="76"/>
    </row>
    <row r="108" spans="1:22" x14ac:dyDescent="0.25">
      <c r="A108" s="367" t="s">
        <v>47</v>
      </c>
      <c r="B108" s="367"/>
      <c r="C108" s="367"/>
      <c r="D108" s="367"/>
      <c r="E108" s="367"/>
      <c r="F108" s="367"/>
      <c r="G108" s="367"/>
      <c r="H108" s="367"/>
      <c r="I108" s="367"/>
      <c r="M108" s="324"/>
      <c r="P108" s="76"/>
    </row>
    <row r="109" spans="1:22" x14ac:dyDescent="0.25">
      <c r="A109" s="367"/>
      <c r="B109" s="367"/>
      <c r="C109" s="367"/>
      <c r="D109" s="367"/>
      <c r="E109" s="367"/>
      <c r="F109" s="367"/>
      <c r="G109" s="367"/>
      <c r="H109" s="367"/>
      <c r="I109" s="367"/>
      <c r="M109" s="324"/>
      <c r="P109" s="76"/>
    </row>
    <row r="110" spans="1:22" x14ac:dyDescent="0.25">
      <c r="A110" s="234"/>
      <c r="B110" s="234"/>
      <c r="C110" s="175" t="str">
        <f>+C5</f>
        <v>General Fund</v>
      </c>
      <c r="D110" s="175"/>
      <c r="E110" s="175" t="str">
        <f>+E5</f>
        <v>General Fund</v>
      </c>
      <c r="F110" s="176"/>
      <c r="G110" s="177" t="s">
        <v>48</v>
      </c>
      <c r="H110" s="178"/>
      <c r="I110" s="179"/>
      <c r="M110" s="324"/>
      <c r="P110" s="76"/>
    </row>
    <row r="111" spans="1:22" x14ac:dyDescent="0.25">
      <c r="A111" s="234"/>
      <c r="B111" s="234"/>
      <c r="C111" s="175" t="str">
        <f>+C6</f>
        <v>Adopted Budget</v>
      </c>
      <c r="D111" s="305"/>
      <c r="E111" s="175" t="str">
        <f>+E6</f>
        <v>DRAFT Budget</v>
      </c>
      <c r="F111" s="181"/>
      <c r="G111" s="177" t="s">
        <v>49</v>
      </c>
      <c r="H111" s="178"/>
      <c r="I111" s="182" t="s">
        <v>48</v>
      </c>
      <c r="M111" s="324"/>
      <c r="P111" s="76"/>
    </row>
    <row r="112" spans="1:22" x14ac:dyDescent="0.25">
      <c r="A112" s="234"/>
      <c r="B112" s="234"/>
      <c r="C112" s="219" t="str">
        <f>+C7</f>
        <v>FY 2018-19</v>
      </c>
      <c r="D112" s="181"/>
      <c r="E112" s="219" t="str">
        <f>+E7</f>
        <v>FY 2019-20</v>
      </c>
      <c r="F112" s="181"/>
      <c r="G112" s="184" t="s">
        <v>50</v>
      </c>
      <c r="H112" s="178"/>
      <c r="I112" s="185" t="s">
        <v>51</v>
      </c>
      <c r="M112" s="324"/>
      <c r="P112" s="76"/>
    </row>
    <row r="113" spans="1:22" x14ac:dyDescent="0.25">
      <c r="A113" s="186" t="s">
        <v>82</v>
      </c>
      <c r="B113" s="234"/>
      <c r="C113" s="187"/>
      <c r="D113" s="187"/>
      <c r="E113" s="187"/>
      <c r="F113" s="188"/>
      <c r="G113" s="196"/>
      <c r="H113" s="197"/>
      <c r="I113" s="198"/>
      <c r="M113" s="324"/>
      <c r="P113" s="76"/>
    </row>
    <row r="114" spans="1:22" x14ac:dyDescent="0.25">
      <c r="A114" s="192" t="s">
        <v>80</v>
      </c>
      <c r="B114" s="234"/>
      <c r="C114" s="194">
        <v>810323</v>
      </c>
      <c r="D114" s="194"/>
      <c r="E114" s="194">
        <f>1132208+M119</f>
        <v>1154681</v>
      </c>
      <c r="F114" s="204"/>
      <c r="G114" s="196">
        <f>(+E114-C114)/C114</f>
        <v>0.424963872431117</v>
      </c>
      <c r="H114" s="197"/>
      <c r="I114" s="198">
        <f t="shared" ref="I114:I119" si="6">+E114/E$162</f>
        <v>2.2857645304331614E-3</v>
      </c>
      <c r="M114" s="324"/>
      <c r="P114" s="76">
        <v>0</v>
      </c>
      <c r="Q114" s="76">
        <v>889504</v>
      </c>
    </row>
    <row r="115" spans="1:22" x14ac:dyDescent="0.25">
      <c r="A115" s="192" t="s">
        <v>54</v>
      </c>
      <c r="B115" s="234"/>
      <c r="C115" s="200">
        <v>1816449</v>
      </c>
      <c r="D115" s="200"/>
      <c r="E115" s="200">
        <v>2133050</v>
      </c>
      <c r="F115" s="204"/>
      <c r="G115" s="196">
        <f>(+E115-C115)/C115</f>
        <v>0.17429666343508682</v>
      </c>
      <c r="H115" s="197"/>
      <c r="I115" s="198">
        <f t="shared" si="6"/>
        <v>4.2225082352965494E-3</v>
      </c>
      <c r="J115" s="322"/>
      <c r="M115" s="324"/>
      <c r="P115" s="76"/>
      <c r="R115" s="76">
        <v>0</v>
      </c>
      <c r="S115" s="31" t="s">
        <v>206</v>
      </c>
      <c r="T115" s="31"/>
      <c r="U115" s="31"/>
      <c r="V115" s="169"/>
    </row>
    <row r="116" spans="1:22" x14ac:dyDescent="0.25">
      <c r="A116" s="192" t="s">
        <v>68</v>
      </c>
      <c r="B116" s="234"/>
      <c r="C116" s="200">
        <v>123747</v>
      </c>
      <c r="D116" s="200"/>
      <c r="E116" s="200">
        <v>63336</v>
      </c>
      <c r="F116" s="204"/>
      <c r="G116" s="196">
        <f>(+E116-C116)/C116</f>
        <v>-0.48818153167349509</v>
      </c>
      <c r="H116" s="197"/>
      <c r="I116" s="198">
        <f t="shared" si="6"/>
        <v>1.2537764308888317E-4</v>
      </c>
      <c r="M116" s="324"/>
      <c r="P116" s="76"/>
    </row>
    <row r="117" spans="1:22" x14ac:dyDescent="0.25">
      <c r="A117" s="192" t="s">
        <v>56</v>
      </c>
      <c r="B117" s="234"/>
      <c r="C117" s="200">
        <v>13350</v>
      </c>
      <c r="D117" s="200"/>
      <c r="E117" s="200">
        <v>13200</v>
      </c>
      <c r="F117" s="204"/>
      <c r="G117" s="196">
        <f>(+E117-C117)/C117</f>
        <v>-1.1235955056179775E-2</v>
      </c>
      <c r="H117" s="197"/>
      <c r="I117" s="198">
        <f t="shared" si="6"/>
        <v>2.6130240128414452E-5</v>
      </c>
      <c r="M117" s="324"/>
      <c r="P117" s="76"/>
    </row>
    <row r="118" spans="1:22" x14ac:dyDescent="0.25">
      <c r="A118" s="192" t="s">
        <v>57</v>
      </c>
      <c r="B118" s="234"/>
      <c r="C118" s="289">
        <v>0</v>
      </c>
      <c r="D118" s="289"/>
      <c r="E118" s="289">
        <v>0</v>
      </c>
      <c r="F118" s="204"/>
      <c r="G118" s="196" t="str">
        <f>IF(C118=0,"n/a",(+E118-C118)/C118)</f>
        <v>n/a</v>
      </c>
      <c r="H118" s="197"/>
      <c r="I118" s="198">
        <f t="shared" si="6"/>
        <v>0</v>
      </c>
      <c r="M118" s="324"/>
      <c r="P118" s="76"/>
    </row>
    <row r="119" spans="1:22" x14ac:dyDescent="0.25">
      <c r="A119" s="209" t="s">
        <v>83</v>
      </c>
      <c r="B119" s="210"/>
      <c r="C119" s="203">
        <f>SUM(C114:C118)</f>
        <v>2763869</v>
      </c>
      <c r="D119" s="204"/>
      <c r="E119" s="203">
        <f>SUM(E114:E118)</f>
        <v>3364267</v>
      </c>
      <c r="F119" s="204"/>
      <c r="G119" s="205">
        <f>(+E119-C119)/C119</f>
        <v>0.21723099032551832</v>
      </c>
      <c r="H119" s="197"/>
      <c r="I119" s="206">
        <f t="shared" si="6"/>
        <v>6.6597806489470078E-3</v>
      </c>
      <c r="M119" s="324">
        <v>22473</v>
      </c>
      <c r="P119" s="76"/>
    </row>
    <row r="120" spans="1:22" x14ac:dyDescent="0.25">
      <c r="A120" s="234"/>
      <c r="B120" s="235"/>
      <c r="C120" s="208"/>
      <c r="D120" s="208"/>
      <c r="E120" s="208"/>
      <c r="F120" s="220"/>
      <c r="G120" s="196"/>
      <c r="H120" s="197"/>
      <c r="I120" s="198"/>
      <c r="M120" s="324"/>
      <c r="P120" s="76"/>
    </row>
    <row r="121" spans="1:22" x14ac:dyDescent="0.25">
      <c r="A121" s="186" t="s">
        <v>84</v>
      </c>
      <c r="B121" s="235"/>
      <c r="C121" s="208"/>
      <c r="D121" s="208"/>
      <c r="E121" s="208"/>
      <c r="F121" s="220"/>
      <c r="G121" s="196"/>
      <c r="H121" s="197"/>
      <c r="I121" s="198"/>
      <c r="M121" s="324"/>
      <c r="P121" s="76"/>
    </row>
    <row r="122" spans="1:22" x14ac:dyDescent="0.25">
      <c r="A122" s="192" t="s">
        <v>80</v>
      </c>
      <c r="B122" s="235"/>
      <c r="C122" s="200">
        <v>7232547</v>
      </c>
      <c r="D122" s="200"/>
      <c r="E122" s="200">
        <f>7324463+M127</f>
        <v>7484777</v>
      </c>
      <c r="F122" s="204"/>
      <c r="G122" s="196">
        <f>(+E122-C122)/C122</f>
        <v>3.4874298086137567E-2</v>
      </c>
      <c r="H122" s="197"/>
      <c r="I122" s="198">
        <f t="shared" ref="I122:I127" si="7">+E122/E$162</f>
        <v>1.4816592448305571E-2</v>
      </c>
      <c r="M122" s="324"/>
      <c r="P122" s="76">
        <v>0</v>
      </c>
      <c r="Q122" s="76">
        <v>6162507</v>
      </c>
    </row>
    <row r="123" spans="1:22" x14ac:dyDescent="0.25">
      <c r="A123" s="192" t="s">
        <v>54</v>
      </c>
      <c r="B123" s="235"/>
      <c r="C123" s="200">
        <v>4692496</v>
      </c>
      <c r="D123" s="200"/>
      <c r="E123" s="200">
        <v>4313296</v>
      </c>
      <c r="F123" s="204"/>
      <c r="G123" s="196">
        <f>(+E123-C123)/C123</f>
        <v>-8.0809871761211946E-2</v>
      </c>
      <c r="H123" s="197"/>
      <c r="I123" s="198">
        <f t="shared" si="7"/>
        <v>8.5384439564340567E-3</v>
      </c>
      <c r="M123" s="324"/>
      <c r="P123" s="76"/>
    </row>
    <row r="124" spans="1:22" x14ac:dyDescent="0.25">
      <c r="A124" s="192" t="s">
        <v>68</v>
      </c>
      <c r="B124" s="235"/>
      <c r="C124" s="200">
        <v>268050</v>
      </c>
      <c r="D124" s="200"/>
      <c r="E124" s="200">
        <v>268050</v>
      </c>
      <c r="F124" s="204"/>
      <c r="G124" s="196">
        <f>(+E124-C124)/C124</f>
        <v>0</v>
      </c>
      <c r="H124" s="197"/>
      <c r="I124" s="198">
        <f t="shared" si="7"/>
        <v>5.3062203533496164E-4</v>
      </c>
      <c r="M124" s="324"/>
      <c r="P124" s="76"/>
    </row>
    <row r="125" spans="1:22" x14ac:dyDescent="0.25">
      <c r="A125" s="192" t="s">
        <v>56</v>
      </c>
      <c r="B125" s="235"/>
      <c r="C125" s="200">
        <v>101198</v>
      </c>
      <c r="D125" s="200"/>
      <c r="E125" s="200">
        <v>101198</v>
      </c>
      <c r="F125" s="204"/>
      <c r="G125" s="196">
        <f>(+E125-C125)/C125</f>
        <v>0</v>
      </c>
      <c r="H125" s="197"/>
      <c r="I125" s="198">
        <f t="shared" si="7"/>
        <v>2.003278818572186E-4</v>
      </c>
      <c r="M125" s="324"/>
      <c r="P125" s="76"/>
    </row>
    <row r="126" spans="1:22" hidden="1" x14ac:dyDescent="0.25">
      <c r="A126" s="192" t="s">
        <v>57</v>
      </c>
      <c r="B126" s="235"/>
      <c r="C126" s="200">
        <v>0</v>
      </c>
      <c r="D126" s="200"/>
      <c r="E126" s="200">
        <v>0</v>
      </c>
      <c r="F126" s="204"/>
      <c r="G126" s="196">
        <v>0</v>
      </c>
      <c r="H126" s="197"/>
      <c r="I126" s="198">
        <f t="shared" si="7"/>
        <v>0</v>
      </c>
      <c r="M126" s="324"/>
      <c r="P126" s="76"/>
    </row>
    <row r="127" spans="1:22" x14ac:dyDescent="0.25">
      <c r="A127" s="209" t="s">
        <v>85</v>
      </c>
      <c r="B127" s="210"/>
      <c r="C127" s="203">
        <f>SUM(C122:C126)</f>
        <v>12294291</v>
      </c>
      <c r="D127" s="204"/>
      <c r="E127" s="203">
        <f>SUM(E122:E126)</f>
        <v>12167321</v>
      </c>
      <c r="F127" s="204"/>
      <c r="G127" s="205">
        <f>(+E127-C127)/C127</f>
        <v>-1.0327557725776948E-2</v>
      </c>
      <c r="H127" s="197"/>
      <c r="I127" s="206">
        <f t="shared" si="7"/>
        <v>2.4085986321931808E-2</v>
      </c>
      <c r="M127" s="324">
        <v>160314</v>
      </c>
      <c r="P127" s="76"/>
    </row>
    <row r="128" spans="1:22" x14ac:dyDescent="0.25">
      <c r="A128" s="234"/>
      <c r="B128" s="235"/>
      <c r="C128" s="208"/>
      <c r="D128" s="208"/>
      <c r="E128" s="208"/>
      <c r="F128" s="220"/>
      <c r="G128" s="196"/>
      <c r="H128" s="197"/>
      <c r="I128" s="198"/>
      <c r="M128" s="324"/>
      <c r="P128" s="76"/>
    </row>
    <row r="129" spans="1:17" x14ac:dyDescent="0.25">
      <c r="A129" s="186" t="s">
        <v>86</v>
      </c>
      <c r="B129" s="235"/>
      <c r="C129" s="208"/>
      <c r="D129" s="208"/>
      <c r="E129" s="208"/>
      <c r="F129" s="220"/>
      <c r="G129" s="196"/>
      <c r="H129" s="197"/>
      <c r="I129" s="198"/>
      <c r="M129" s="324"/>
      <c r="P129" s="76"/>
    </row>
    <row r="130" spans="1:17" x14ac:dyDescent="0.25">
      <c r="A130" s="192" t="s">
        <v>80</v>
      </c>
      <c r="B130" s="235"/>
      <c r="C130" s="200">
        <v>4933096</v>
      </c>
      <c r="D130" s="200"/>
      <c r="E130" s="200">
        <f>6579194+M134</f>
        <v>6709397</v>
      </c>
      <c r="F130" s="204"/>
      <c r="G130" s="196">
        <f>(+E130-C130)/C130</f>
        <v>0.36007833620103885</v>
      </c>
      <c r="H130" s="197"/>
      <c r="I130" s="198">
        <f>+E130/E$162</f>
        <v>1.3281678388398752E-2</v>
      </c>
      <c r="M130" s="324"/>
      <c r="P130" s="76">
        <v>0</v>
      </c>
      <c r="Q130" s="76">
        <v>7210811</v>
      </c>
    </row>
    <row r="131" spans="1:17" x14ac:dyDescent="0.25">
      <c r="A131" s="192" t="s">
        <v>54</v>
      </c>
      <c r="B131" s="235"/>
      <c r="C131" s="200">
        <v>525444</v>
      </c>
      <c r="D131" s="200"/>
      <c r="E131" s="200">
        <v>543019</v>
      </c>
      <c r="F131" s="204"/>
      <c r="G131" s="196">
        <f>(+E131-C131)/C131</f>
        <v>3.3447903106705951E-2</v>
      </c>
      <c r="H131" s="197"/>
      <c r="I131" s="198">
        <f>+E131/E$162</f>
        <v>1.0749406715372339E-3</v>
      </c>
      <c r="M131" s="324"/>
      <c r="P131" s="76"/>
    </row>
    <row r="132" spans="1:17" x14ac:dyDescent="0.25">
      <c r="A132" s="192" t="s">
        <v>68</v>
      </c>
      <c r="B132" s="235"/>
      <c r="C132" s="200">
        <v>468079</v>
      </c>
      <c r="D132" s="200"/>
      <c r="E132" s="200">
        <v>476104</v>
      </c>
      <c r="F132" s="204"/>
      <c r="G132" s="196">
        <f>(+E132-C132)/C132</f>
        <v>1.7144541840159459E-2</v>
      </c>
      <c r="H132" s="197"/>
      <c r="I132" s="198">
        <f>+E132/E$162</f>
        <v>9.4247817015898744E-4</v>
      </c>
      <c r="M132" s="324"/>
      <c r="P132" s="76"/>
    </row>
    <row r="133" spans="1:17" x14ac:dyDescent="0.25">
      <c r="A133" s="192" t="s">
        <v>56</v>
      </c>
      <c r="B133" s="235"/>
      <c r="C133" s="200">
        <v>570208</v>
      </c>
      <c r="D133" s="200"/>
      <c r="E133" s="200">
        <v>640453</v>
      </c>
      <c r="F133" s="204"/>
      <c r="G133" s="196">
        <f>(+E133-C133)/C133</f>
        <v>0.12319188787249565</v>
      </c>
      <c r="H133" s="197"/>
      <c r="I133" s="198">
        <f>+E133/E$162</f>
        <v>1.2678174758305623E-3</v>
      </c>
      <c r="J133" s="322"/>
      <c r="M133" s="324"/>
      <c r="P133" s="76"/>
    </row>
    <row r="134" spans="1:17" x14ac:dyDescent="0.25">
      <c r="A134" s="209" t="s">
        <v>87</v>
      </c>
      <c r="B134" s="210"/>
      <c r="C134" s="203">
        <f>SUM(C130:C133)</f>
        <v>6496827</v>
      </c>
      <c r="D134" s="204"/>
      <c r="E134" s="203">
        <f>SUM(E130:E133)</f>
        <v>8368973</v>
      </c>
      <c r="F134" s="204"/>
      <c r="G134" s="205">
        <f>(+E134-C134)/C134</f>
        <v>0.28816312947843614</v>
      </c>
      <c r="H134" s="197"/>
      <c r="I134" s="206">
        <f>+E134/E$162</f>
        <v>1.6566914705925535E-2</v>
      </c>
      <c r="M134" s="324">
        <v>130203</v>
      </c>
      <c r="P134" s="76"/>
    </row>
    <row r="135" spans="1:17" x14ac:dyDescent="0.25">
      <c r="A135" s="209"/>
      <c r="B135" s="210"/>
      <c r="C135" s="204"/>
      <c r="D135" s="204"/>
      <c r="E135" s="204"/>
      <c r="F135" s="204"/>
      <c r="G135" s="197"/>
      <c r="H135" s="197"/>
      <c r="I135" s="207"/>
      <c r="M135" s="324"/>
      <c r="P135" s="76"/>
    </row>
    <row r="136" spans="1:17" x14ac:dyDescent="0.25">
      <c r="A136" s="186" t="s">
        <v>160</v>
      </c>
      <c r="B136" s="235"/>
      <c r="C136" s="200"/>
      <c r="D136" s="200"/>
      <c r="E136" s="200"/>
      <c r="F136" s="204"/>
      <c r="G136" s="196"/>
      <c r="H136" s="197"/>
      <c r="I136" s="225"/>
      <c r="M136" s="324"/>
      <c r="P136" s="76"/>
    </row>
    <row r="137" spans="1:17" hidden="1" x14ac:dyDescent="0.25">
      <c r="A137" s="192" t="s">
        <v>53</v>
      </c>
      <c r="B137" s="235"/>
      <c r="C137" s="200">
        <v>0</v>
      </c>
      <c r="D137" s="200"/>
      <c r="E137" s="200">
        <v>0</v>
      </c>
      <c r="F137" s="204"/>
      <c r="G137" s="196" t="e">
        <f>(+E137-C137)/C137</f>
        <v>#DIV/0!</v>
      </c>
      <c r="H137" s="197"/>
      <c r="I137" s="198">
        <f>+E137/E$162</f>
        <v>0</v>
      </c>
      <c r="M137" s="324"/>
      <c r="P137" s="76"/>
    </row>
    <row r="138" spans="1:17" x14ac:dyDescent="0.25">
      <c r="A138" s="192" t="s">
        <v>161</v>
      </c>
      <c r="B138" s="235"/>
      <c r="C138" s="200">
        <v>0</v>
      </c>
      <c r="D138" s="200"/>
      <c r="E138" s="289">
        <v>0</v>
      </c>
      <c r="F138" s="204"/>
      <c r="G138" s="196">
        <v>0</v>
      </c>
      <c r="H138" s="197"/>
      <c r="I138" s="198">
        <f>+E138/E$162</f>
        <v>0</v>
      </c>
      <c r="M138" s="324"/>
      <c r="P138" s="76"/>
    </row>
    <row r="139" spans="1:17" x14ac:dyDescent="0.25">
      <c r="A139" s="209" t="s">
        <v>167</v>
      </c>
      <c r="B139" s="210"/>
      <c r="C139" s="203">
        <f>SUM(C137:C138)</f>
        <v>0</v>
      </c>
      <c r="D139" s="204"/>
      <c r="E139" s="290">
        <f>SUM(E137:E138)</f>
        <v>0</v>
      </c>
      <c r="F139" s="204"/>
      <c r="G139" s="205">
        <v>0</v>
      </c>
      <c r="H139" s="197"/>
      <c r="I139" s="206">
        <f>+E139/E$162</f>
        <v>0</v>
      </c>
      <c r="M139" s="324"/>
      <c r="P139" s="76"/>
    </row>
    <row r="140" spans="1:17" x14ac:dyDescent="0.25">
      <c r="A140" s="209"/>
      <c r="B140" s="210"/>
      <c r="C140" s="204"/>
      <c r="D140" s="204"/>
      <c r="E140" s="204"/>
      <c r="F140" s="204"/>
      <c r="G140" s="197"/>
      <c r="H140" s="197"/>
      <c r="I140" s="207"/>
      <c r="M140" s="324"/>
      <c r="P140" s="76"/>
    </row>
    <row r="141" spans="1:17" x14ac:dyDescent="0.25">
      <c r="A141" s="186" t="s">
        <v>203</v>
      </c>
      <c r="B141" s="235"/>
      <c r="C141" s="208"/>
      <c r="D141" s="208"/>
      <c r="E141" s="208"/>
      <c r="F141" s="220"/>
      <c r="G141" s="196"/>
      <c r="H141" s="197"/>
      <c r="I141" s="217"/>
      <c r="M141" s="324"/>
      <c r="P141" s="76"/>
    </row>
    <row r="142" spans="1:17" x14ac:dyDescent="0.25">
      <c r="A142" s="192" t="s">
        <v>54</v>
      </c>
      <c r="B142" s="210"/>
      <c r="C142" s="291">
        <v>34476000</v>
      </c>
      <c r="D142" s="204"/>
      <c r="E142" s="204">
        <v>20936535</v>
      </c>
      <c r="F142" s="204"/>
      <c r="G142" s="196">
        <v>1</v>
      </c>
      <c r="H142" s="197"/>
      <c r="I142" s="198">
        <f>+E142/E$162</f>
        <v>4.1445203561132855E-2</v>
      </c>
      <c r="M142" s="324"/>
      <c r="P142" s="76"/>
    </row>
    <row r="143" spans="1:17" x14ac:dyDescent="0.25">
      <c r="A143" s="209" t="s">
        <v>178</v>
      </c>
      <c r="B143" s="210"/>
      <c r="C143" s="290">
        <f>SUM(C141:C142)</f>
        <v>34476000</v>
      </c>
      <c r="D143" s="204"/>
      <c r="E143" s="203">
        <f>SUM(E141:E142)</f>
        <v>20936535</v>
      </c>
      <c r="F143" s="204"/>
      <c r="G143" s="205">
        <v>1</v>
      </c>
      <c r="H143" s="197"/>
      <c r="I143" s="206">
        <f>+E143/E$162</f>
        <v>4.1445203561132855E-2</v>
      </c>
      <c r="M143" s="324"/>
      <c r="P143" s="76"/>
    </row>
    <row r="144" spans="1:17" x14ac:dyDescent="0.25">
      <c r="A144" s="234"/>
      <c r="B144" s="235"/>
      <c r="C144" s="208"/>
      <c r="D144" s="208"/>
      <c r="E144" s="208"/>
      <c r="F144" s="220"/>
      <c r="G144" s="196"/>
      <c r="H144" s="197"/>
      <c r="I144" s="198"/>
      <c r="M144" s="324"/>
      <c r="P144" s="76"/>
    </row>
    <row r="145" spans="1:16" hidden="1" x14ac:dyDescent="0.25">
      <c r="A145" s="186" t="s">
        <v>156</v>
      </c>
      <c r="B145" s="235"/>
      <c r="C145" s="200"/>
      <c r="D145" s="200"/>
      <c r="E145" s="200"/>
      <c r="F145" s="204"/>
      <c r="G145" s="196"/>
      <c r="H145" s="197"/>
      <c r="I145" s="225"/>
      <c r="M145" s="324"/>
      <c r="P145" s="76"/>
    </row>
    <row r="146" spans="1:16" hidden="1" x14ac:dyDescent="0.25">
      <c r="A146" s="192" t="s">
        <v>53</v>
      </c>
      <c r="B146" s="235"/>
      <c r="C146" s="200">
        <v>0</v>
      </c>
      <c r="D146" s="200"/>
      <c r="E146" s="200">
        <v>0</v>
      </c>
      <c r="F146" s="204"/>
      <c r="G146" s="196" t="e">
        <f>(+E146-C146)/C146</f>
        <v>#DIV/0!</v>
      </c>
      <c r="H146" s="197"/>
      <c r="I146" s="198">
        <f>+E146/E$162</f>
        <v>0</v>
      </c>
      <c r="M146" s="324"/>
      <c r="P146" s="76"/>
    </row>
    <row r="147" spans="1:16" hidden="1" x14ac:dyDescent="0.25">
      <c r="A147" s="192" t="s">
        <v>57</v>
      </c>
      <c r="B147" s="235"/>
      <c r="C147" s="200">
        <v>0</v>
      </c>
      <c r="D147" s="200"/>
      <c r="E147" s="200">
        <v>0</v>
      </c>
      <c r="F147" s="204"/>
      <c r="G147" s="196">
        <v>0</v>
      </c>
      <c r="H147" s="197"/>
      <c r="I147" s="198">
        <f>+E147/E$162</f>
        <v>0</v>
      </c>
      <c r="M147" s="324"/>
      <c r="P147" s="76"/>
    </row>
    <row r="148" spans="1:16" hidden="1" x14ac:dyDescent="0.25">
      <c r="A148" s="209" t="s">
        <v>88</v>
      </c>
      <c r="B148" s="210"/>
      <c r="C148" s="203">
        <f>SUM(C146:C147)</f>
        <v>0</v>
      </c>
      <c r="D148" s="204"/>
      <c r="E148" s="203">
        <f>SUM(E146:E147)</f>
        <v>0</v>
      </c>
      <c r="F148" s="204"/>
      <c r="G148" s="205" t="e">
        <f>(+E148-C148)/C148</f>
        <v>#DIV/0!</v>
      </c>
      <c r="H148" s="197"/>
      <c r="I148" s="206">
        <f>+E148/E$162</f>
        <v>0</v>
      </c>
      <c r="M148" s="324"/>
      <c r="P148" s="76"/>
    </row>
    <row r="149" spans="1:16" hidden="1" x14ac:dyDescent="0.25">
      <c r="A149" s="209"/>
      <c r="B149" s="210"/>
      <c r="C149" s="204"/>
      <c r="D149" s="204"/>
      <c r="E149" s="204"/>
      <c r="F149" s="204"/>
      <c r="G149" s="197"/>
      <c r="H149" s="197"/>
      <c r="I149" s="207"/>
      <c r="M149" s="324"/>
      <c r="P149" s="76"/>
    </row>
    <row r="150" spans="1:16" x14ac:dyDescent="0.25">
      <c r="A150" s="186" t="s">
        <v>89</v>
      </c>
      <c r="B150" s="235"/>
      <c r="C150" s="208"/>
      <c r="D150" s="208"/>
      <c r="E150" s="208"/>
      <c r="F150" s="220"/>
      <c r="G150" s="196"/>
      <c r="H150" s="197"/>
      <c r="I150" s="217"/>
      <c r="M150" s="324"/>
      <c r="P150" s="76"/>
    </row>
    <row r="151" spans="1:16" x14ac:dyDescent="0.25">
      <c r="A151" s="192" t="s">
        <v>90</v>
      </c>
      <c r="B151" s="235"/>
      <c r="C151" s="200">
        <v>210000</v>
      </c>
      <c r="D151" s="200"/>
      <c r="E151" s="200">
        <v>210000</v>
      </c>
      <c r="F151" s="204"/>
      <c r="G151" s="196">
        <f>(+E151-C151)/C151</f>
        <v>0</v>
      </c>
      <c r="H151" s="197"/>
      <c r="I151" s="198">
        <f>+E151/E$162</f>
        <v>4.1570836567932085E-4</v>
      </c>
      <c r="M151" s="324"/>
      <c r="P151" s="76"/>
    </row>
    <row r="152" spans="1:16" x14ac:dyDescent="0.25">
      <c r="A152" s="209" t="s">
        <v>91</v>
      </c>
      <c r="B152" s="210"/>
      <c r="C152" s="203">
        <f>SUM(C151)</f>
        <v>210000</v>
      </c>
      <c r="D152" s="204"/>
      <c r="E152" s="203">
        <f>SUM(E151)</f>
        <v>210000</v>
      </c>
      <c r="F152" s="204"/>
      <c r="G152" s="205">
        <f>(+E152-C152)/C152</f>
        <v>0</v>
      </c>
      <c r="H152" s="197"/>
      <c r="I152" s="206">
        <f>+E152/E$162</f>
        <v>4.1570836567932085E-4</v>
      </c>
      <c r="M152" s="324"/>
      <c r="P152" s="76"/>
    </row>
    <row r="153" spans="1:16" x14ac:dyDescent="0.25">
      <c r="A153" s="234"/>
      <c r="B153" s="235"/>
      <c r="C153" s="208"/>
      <c r="D153" s="208"/>
      <c r="E153" s="208"/>
      <c r="F153" s="220"/>
      <c r="G153" s="196"/>
      <c r="H153" s="197"/>
      <c r="I153" s="217"/>
      <c r="M153" s="324"/>
      <c r="P153" s="76"/>
    </row>
    <row r="154" spans="1:16" x14ac:dyDescent="0.25">
      <c r="A154" s="186" t="s">
        <v>205</v>
      </c>
      <c r="B154" s="209"/>
      <c r="C154" s="208"/>
      <c r="D154" s="208"/>
      <c r="E154" s="208"/>
      <c r="F154" s="220"/>
      <c r="G154" s="196"/>
      <c r="H154" s="197"/>
      <c r="I154" s="217"/>
      <c r="M154" s="324"/>
      <c r="P154" s="76"/>
    </row>
    <row r="155" spans="1:16" x14ac:dyDescent="0.25">
      <c r="A155" s="192" t="s">
        <v>54</v>
      </c>
      <c r="B155" s="235"/>
      <c r="C155" s="200">
        <v>200000</v>
      </c>
      <c r="D155" s="200"/>
      <c r="E155" s="200">
        <v>200000</v>
      </c>
      <c r="F155" s="204"/>
      <c r="G155" s="196">
        <f>(+E155-C155)/C155</f>
        <v>0</v>
      </c>
      <c r="H155" s="197"/>
      <c r="I155" s="198">
        <f>+E155/E$162</f>
        <v>3.9591272921840078E-4</v>
      </c>
      <c r="M155" s="324"/>
      <c r="P155" s="76"/>
    </row>
    <row r="156" spans="1:16" x14ac:dyDescent="0.25">
      <c r="A156" s="209" t="s">
        <v>92</v>
      </c>
      <c r="B156" s="209"/>
      <c r="C156" s="203">
        <f>SUM(C155)</f>
        <v>200000</v>
      </c>
      <c r="D156" s="204"/>
      <c r="E156" s="203">
        <f>SUM(E155)</f>
        <v>200000</v>
      </c>
      <c r="F156" s="204"/>
      <c r="G156" s="205">
        <f>(+E156-C156)/C156</f>
        <v>0</v>
      </c>
      <c r="H156" s="197"/>
      <c r="I156" s="206">
        <f>+E156/E$162</f>
        <v>3.9591272921840078E-4</v>
      </c>
      <c r="M156" s="324"/>
      <c r="P156" s="76"/>
    </row>
    <row r="157" spans="1:16" x14ac:dyDescent="0.25">
      <c r="A157" s="234"/>
      <c r="B157" s="235"/>
      <c r="C157" s="200"/>
      <c r="D157" s="200"/>
      <c r="E157" s="200"/>
      <c r="F157" s="226"/>
      <c r="G157" s="196"/>
      <c r="H157" s="197"/>
      <c r="I157" s="198"/>
      <c r="M157" s="324"/>
      <c r="P157" s="76"/>
    </row>
    <row r="158" spans="1:16" x14ac:dyDescent="0.25">
      <c r="A158" s="186" t="s">
        <v>93</v>
      </c>
      <c r="B158" s="209"/>
      <c r="C158" s="208"/>
      <c r="D158" s="208"/>
      <c r="E158" s="208"/>
      <c r="F158" s="220"/>
      <c r="G158" s="196"/>
      <c r="H158" s="197"/>
      <c r="I158" s="217"/>
      <c r="M158" s="324"/>
      <c r="P158" s="76"/>
    </row>
    <row r="159" spans="1:16" x14ac:dyDescent="0.25">
      <c r="A159" s="192" t="s">
        <v>54</v>
      </c>
      <c r="B159" s="235"/>
      <c r="C159" s="200">
        <v>3282088</v>
      </c>
      <c r="D159" s="200"/>
      <c r="E159" s="200">
        <v>3662088</v>
      </c>
      <c r="F159" s="204"/>
      <c r="G159" s="196">
        <f>(+E159-C159)/C159</f>
        <v>0.11577995471175666</v>
      </c>
      <c r="H159" s="197"/>
      <c r="I159" s="198">
        <f>+E159/E$162</f>
        <v>7.2493362735897744E-3</v>
      </c>
      <c r="M159" s="324"/>
      <c r="P159" s="76"/>
    </row>
    <row r="160" spans="1:16" x14ac:dyDescent="0.25">
      <c r="A160" s="209" t="s">
        <v>94</v>
      </c>
      <c r="B160" s="209"/>
      <c r="C160" s="203">
        <f>SUM(C159)</f>
        <v>3282088</v>
      </c>
      <c r="D160" s="204"/>
      <c r="E160" s="203">
        <f>SUM(E159)</f>
        <v>3662088</v>
      </c>
      <c r="F160" s="204"/>
      <c r="G160" s="205">
        <f>(+E160-C160)/C160</f>
        <v>0.11577995471175666</v>
      </c>
      <c r="H160" s="197"/>
      <c r="I160" s="206">
        <f>+E160/E$162</f>
        <v>7.2493362735897744E-3</v>
      </c>
      <c r="M160" s="324"/>
      <c r="P160" s="76"/>
    </row>
    <row r="161" spans="1:17" x14ac:dyDescent="0.25">
      <c r="A161" s="234"/>
      <c r="B161" s="235"/>
      <c r="C161" s="200"/>
      <c r="D161" s="200"/>
      <c r="E161" s="200"/>
      <c r="F161" s="226"/>
      <c r="G161" s="196"/>
      <c r="H161" s="197"/>
      <c r="I161" s="198"/>
      <c r="M161" s="324"/>
      <c r="P161" s="76"/>
    </row>
    <row r="162" spans="1:17" ht="15.75" thickBot="1" x14ac:dyDescent="0.3">
      <c r="A162" s="209" t="s">
        <v>95</v>
      </c>
      <c r="B162" s="210"/>
      <c r="C162" s="227">
        <f>C14+C21+C28+C35+C42+C49+C61+C68+C73+C81+C89+C96+C104+C119+C127+C134+C139+C143+C152+C156+C160</f>
        <v>498509815</v>
      </c>
      <c r="D162" s="228"/>
      <c r="E162" s="311">
        <f>E14+E21+E28+E35+E42+E49+E61+E68+E73+E81+E89+E96+E104+E119+E127+E134+E139+E143+E152+E156+E160</f>
        <v>505161833</v>
      </c>
      <c r="F162" s="204"/>
      <c r="G162" s="229">
        <f>(+E162-C162)/C162</f>
        <v>1.3343805477531069E-2</v>
      </c>
      <c r="H162" s="197"/>
      <c r="I162" s="230">
        <f>+E162/E$162</f>
        <v>1</v>
      </c>
      <c r="M162" s="325">
        <f>SUM(M14:M161)</f>
        <v>8264009</v>
      </c>
      <c r="P162" s="76">
        <f>SUM(P8:P161)</f>
        <v>8500000</v>
      </c>
      <c r="Q162" s="76">
        <f>SUM(Q8:Q161)</f>
        <v>380543685</v>
      </c>
    </row>
    <row r="163" spans="1:17" ht="15.75" thickTop="1" x14ac:dyDescent="0.25">
      <c r="M163" s="323">
        <v>2.5000000000000001E-2</v>
      </c>
      <c r="P163" s="76"/>
    </row>
    <row r="164" spans="1:17" x14ac:dyDescent="0.25">
      <c r="P164" s="76"/>
    </row>
    <row r="165" spans="1:17" x14ac:dyDescent="0.25">
      <c r="P165" s="76"/>
    </row>
    <row r="166" spans="1:17" x14ac:dyDescent="0.25">
      <c r="P166" s="76"/>
    </row>
    <row r="167" spans="1:17" x14ac:dyDescent="0.25">
      <c r="P167" s="76"/>
    </row>
    <row r="168" spans="1:17" x14ac:dyDescent="0.25">
      <c r="P168" s="76"/>
    </row>
    <row r="169" spans="1:17" x14ac:dyDescent="0.25">
      <c r="P169" s="76"/>
    </row>
    <row r="170" spans="1:17" x14ac:dyDescent="0.25">
      <c r="P170" s="76"/>
    </row>
    <row r="171" spans="1:17" x14ac:dyDescent="0.25">
      <c r="P171" s="76"/>
    </row>
    <row r="172" spans="1:17" x14ac:dyDescent="0.25">
      <c r="P172" s="76"/>
    </row>
    <row r="173" spans="1:17" x14ac:dyDescent="0.25">
      <c r="P173" s="76"/>
    </row>
    <row r="174" spans="1:17" x14ac:dyDescent="0.25">
      <c r="P174" s="76"/>
    </row>
    <row r="175" spans="1:17" x14ac:dyDescent="0.25">
      <c r="P175" s="76"/>
    </row>
    <row r="176" spans="1:17" x14ac:dyDescent="0.25">
      <c r="P176" s="76"/>
    </row>
    <row r="177" spans="16:16" x14ac:dyDescent="0.25">
      <c r="P177" s="76"/>
    </row>
    <row r="178" spans="16:16" x14ac:dyDescent="0.25">
      <c r="P178" s="76"/>
    </row>
    <row r="179" spans="16:16" x14ac:dyDescent="0.25">
      <c r="P179" s="76"/>
    </row>
    <row r="180" spans="16:16" x14ac:dyDescent="0.25">
      <c r="P180" s="76"/>
    </row>
    <row r="181" spans="16:16" x14ac:dyDescent="0.25">
      <c r="P181" s="76"/>
    </row>
    <row r="182" spans="16:16" x14ac:dyDescent="0.25">
      <c r="P182" s="76"/>
    </row>
    <row r="183" spans="16:16" x14ac:dyDescent="0.25">
      <c r="P183" s="76"/>
    </row>
    <row r="184" spans="16:16" x14ac:dyDescent="0.25">
      <c r="P184" s="76"/>
    </row>
    <row r="185" spans="16:16" x14ac:dyDescent="0.25">
      <c r="P185" s="76"/>
    </row>
    <row r="186" spans="16:16" x14ac:dyDescent="0.25">
      <c r="P186" s="76"/>
    </row>
    <row r="187" spans="16:16" x14ac:dyDescent="0.25">
      <c r="P187" s="76"/>
    </row>
    <row r="188" spans="16:16" x14ac:dyDescent="0.25">
      <c r="P188" s="76"/>
    </row>
    <row r="189" spans="16:16" x14ac:dyDescent="0.25">
      <c r="P189" s="76"/>
    </row>
    <row r="190" spans="16:16" x14ac:dyDescent="0.25">
      <c r="P190" s="76"/>
    </row>
    <row r="191" spans="16:16" x14ac:dyDescent="0.25">
      <c r="P191" s="76"/>
    </row>
    <row r="192" spans="16:16" x14ac:dyDescent="0.25">
      <c r="P192" s="76"/>
    </row>
    <row r="193" spans="16:16" x14ac:dyDescent="0.25">
      <c r="P193" s="76"/>
    </row>
    <row r="194" spans="16:16" x14ac:dyDescent="0.25">
      <c r="P194" s="76"/>
    </row>
    <row r="195" spans="16:16" x14ac:dyDescent="0.25">
      <c r="P195" s="76"/>
    </row>
    <row r="196" spans="16:16" x14ac:dyDescent="0.25">
      <c r="P196" s="76"/>
    </row>
    <row r="197" spans="16:16" x14ac:dyDescent="0.25">
      <c r="P197" s="76"/>
    </row>
    <row r="198" spans="16:16" x14ac:dyDescent="0.25">
      <c r="P198" s="76"/>
    </row>
    <row r="199" spans="16:16" x14ac:dyDescent="0.25">
      <c r="P199" s="76"/>
    </row>
    <row r="200" spans="16:16" x14ac:dyDescent="0.25">
      <c r="P200" s="76"/>
    </row>
    <row r="201" spans="16:16" x14ac:dyDescent="0.25">
      <c r="P201" s="76"/>
    </row>
    <row r="202" spans="16:16" x14ac:dyDescent="0.25">
      <c r="P202" s="76"/>
    </row>
    <row r="203" spans="16:16" x14ac:dyDescent="0.25">
      <c r="P203" s="76"/>
    </row>
    <row r="204" spans="16:16" x14ac:dyDescent="0.25">
      <c r="P204" s="76"/>
    </row>
    <row r="205" spans="16:16" x14ac:dyDescent="0.25">
      <c r="P205" s="76"/>
    </row>
    <row r="206" spans="16:16" x14ac:dyDescent="0.25">
      <c r="P206" s="76"/>
    </row>
    <row r="207" spans="16:16" x14ac:dyDescent="0.25">
      <c r="P207" s="76"/>
    </row>
    <row r="208" spans="16:16" x14ac:dyDescent="0.25">
      <c r="P208" s="76"/>
    </row>
    <row r="209" spans="16:16" x14ac:dyDescent="0.25">
      <c r="P209" s="76"/>
    </row>
    <row r="210" spans="16:16" x14ac:dyDescent="0.25">
      <c r="P210" s="76"/>
    </row>
    <row r="211" spans="16:16" x14ac:dyDescent="0.25">
      <c r="P211" s="76"/>
    </row>
    <row r="212" spans="16:16" x14ac:dyDescent="0.25">
      <c r="P212" s="76"/>
    </row>
    <row r="213" spans="16:16" x14ac:dyDescent="0.25">
      <c r="P213" s="76"/>
    </row>
    <row r="214" spans="16:16" x14ac:dyDescent="0.25">
      <c r="P214" s="76"/>
    </row>
    <row r="215" spans="16:16" x14ac:dyDescent="0.25">
      <c r="P215" s="76"/>
    </row>
    <row r="216" spans="16:16" x14ac:dyDescent="0.25">
      <c r="P216" s="76"/>
    </row>
    <row r="217" spans="16:16" x14ac:dyDescent="0.25">
      <c r="P217" s="76"/>
    </row>
    <row r="218" spans="16:16" x14ac:dyDescent="0.25">
      <c r="P218" s="76"/>
    </row>
    <row r="219" spans="16:16" x14ac:dyDescent="0.25">
      <c r="P219" s="76"/>
    </row>
    <row r="220" spans="16:16" x14ac:dyDescent="0.25">
      <c r="P220" s="76"/>
    </row>
    <row r="221" spans="16:16" x14ac:dyDescent="0.25">
      <c r="P221" s="76"/>
    </row>
    <row r="222" spans="16:16" x14ac:dyDescent="0.25">
      <c r="P222" s="76"/>
    </row>
    <row r="223" spans="16:16" x14ac:dyDescent="0.25">
      <c r="P223" s="76"/>
    </row>
    <row r="224" spans="16:16" x14ac:dyDescent="0.25">
      <c r="P224" s="76"/>
    </row>
    <row r="225" spans="16:16" x14ac:dyDescent="0.25">
      <c r="P225" s="76"/>
    </row>
    <row r="226" spans="16:16" x14ac:dyDescent="0.25">
      <c r="P226" s="76"/>
    </row>
    <row r="227" spans="16:16" x14ac:dyDescent="0.25">
      <c r="P227" s="76"/>
    </row>
    <row r="228" spans="16:16" x14ac:dyDescent="0.25">
      <c r="P228" s="76"/>
    </row>
    <row r="229" spans="16:16" x14ac:dyDescent="0.25">
      <c r="P229" s="76"/>
    </row>
    <row r="230" spans="16:16" x14ac:dyDescent="0.25">
      <c r="P230" s="76"/>
    </row>
    <row r="231" spans="16:16" x14ac:dyDescent="0.25">
      <c r="P231" s="76"/>
    </row>
    <row r="232" spans="16:16" x14ac:dyDescent="0.25">
      <c r="P232" s="76"/>
    </row>
    <row r="233" spans="16:16" x14ac:dyDescent="0.25">
      <c r="P233" s="76"/>
    </row>
    <row r="234" spans="16:16" x14ac:dyDescent="0.25">
      <c r="P234" s="76"/>
    </row>
    <row r="235" spans="16:16" x14ac:dyDescent="0.25">
      <c r="P235" s="76"/>
    </row>
    <row r="236" spans="16:16" x14ac:dyDescent="0.25">
      <c r="P236" s="76"/>
    </row>
    <row r="237" spans="16:16" x14ac:dyDescent="0.25">
      <c r="P237" s="76"/>
    </row>
    <row r="238" spans="16:16" x14ac:dyDescent="0.25">
      <c r="P238" s="76"/>
    </row>
    <row r="239" spans="16:16" x14ac:dyDescent="0.25">
      <c r="P239" s="76"/>
    </row>
    <row r="240" spans="16:16" x14ac:dyDescent="0.25">
      <c r="P240" s="76"/>
    </row>
    <row r="241" spans="16:16" x14ac:dyDescent="0.25">
      <c r="P241" s="76"/>
    </row>
    <row r="242" spans="16:16" x14ac:dyDescent="0.25">
      <c r="P242" s="76"/>
    </row>
    <row r="243" spans="16:16" x14ac:dyDescent="0.25">
      <c r="P243" s="76"/>
    </row>
    <row r="244" spans="16:16" x14ac:dyDescent="0.25">
      <c r="P244" s="76"/>
    </row>
    <row r="245" spans="16:16" x14ac:dyDescent="0.25">
      <c r="P245" s="76"/>
    </row>
    <row r="246" spans="16:16" x14ac:dyDescent="0.25">
      <c r="P246" s="76"/>
    </row>
    <row r="247" spans="16:16" x14ac:dyDescent="0.25">
      <c r="P247" s="76"/>
    </row>
    <row r="248" spans="16:16" x14ac:dyDescent="0.25">
      <c r="P248" s="76"/>
    </row>
    <row r="249" spans="16:16" x14ac:dyDescent="0.25">
      <c r="P249" s="76"/>
    </row>
    <row r="250" spans="16:16" x14ac:dyDescent="0.25">
      <c r="P250" s="76"/>
    </row>
    <row r="251" spans="16:16" x14ac:dyDescent="0.25">
      <c r="P251" s="76"/>
    </row>
    <row r="252" spans="16:16" x14ac:dyDescent="0.25">
      <c r="P252" s="76"/>
    </row>
    <row r="253" spans="16:16" x14ac:dyDescent="0.25">
      <c r="P253" s="76"/>
    </row>
    <row r="254" spans="16:16" x14ac:dyDescent="0.25">
      <c r="P254" s="76"/>
    </row>
    <row r="255" spans="16:16" x14ac:dyDescent="0.25">
      <c r="P255" s="76"/>
    </row>
    <row r="256" spans="16:16" x14ac:dyDescent="0.25">
      <c r="P256" s="76"/>
    </row>
    <row r="257" spans="16:16" x14ac:dyDescent="0.25">
      <c r="P257" s="76"/>
    </row>
    <row r="258" spans="16:16" x14ac:dyDescent="0.25">
      <c r="P258" s="76"/>
    </row>
  </sheetData>
  <mergeCells count="11">
    <mergeCell ref="A54:I54"/>
    <mergeCell ref="A106:I106"/>
    <mergeCell ref="A107:I107"/>
    <mergeCell ref="A108:I108"/>
    <mergeCell ref="A109:I109"/>
    <mergeCell ref="A53:I53"/>
    <mergeCell ref="A1:I1"/>
    <mergeCell ref="A2:I2"/>
    <mergeCell ref="A3:I3"/>
    <mergeCell ref="A51:I51"/>
    <mergeCell ref="A52:I52"/>
  </mergeCells>
  <pageMargins left="0.7" right="0.7" top="0.75" bottom="0.75" header="0.3" footer="0.3"/>
  <pageSetup scale="82" orientation="portrait" r:id="rId1"/>
  <rowBreaks count="2" manualBreakCount="2">
    <brk id="50" max="8" man="1"/>
    <brk id="1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Cover</vt:lpstr>
      <vt:lpstr>comb funds by func</vt:lpstr>
      <vt:lpstr>Cover Supporting Sch</vt:lpstr>
      <vt:lpstr>GF by funct </vt:lpstr>
      <vt:lpstr>GF by Func 2.5%</vt:lpstr>
      <vt:lpstr>GF by Func 3%</vt:lpstr>
      <vt:lpstr>GF Rev by Obj</vt:lpstr>
      <vt:lpstr>GF Exp by Func &amp; Mj Obj </vt:lpstr>
      <vt:lpstr>2.5% Pay Increase</vt:lpstr>
      <vt:lpstr>GF Exp by Maj Obj</vt:lpstr>
      <vt:lpstr>FS Fund</vt:lpstr>
      <vt:lpstr>DS Fund</vt:lpstr>
      <vt:lpstr>'2.5% Pay Increase'!Print_Area</vt:lpstr>
      <vt:lpstr>Cover!Print_Area</vt:lpstr>
      <vt:lpstr>'Cover Supporting Sch'!Print_Area</vt:lpstr>
      <vt:lpstr>'DS Fund'!Print_Area</vt:lpstr>
      <vt:lpstr>'FS Fund'!Print_Area</vt:lpstr>
      <vt:lpstr>'GF by Func 3%'!Print_Area</vt:lpstr>
      <vt:lpstr>'GF by funct '!Print_Area</vt:lpstr>
      <vt:lpstr>'GF Exp by Func &amp; Mj Obj '!Print_Area</vt:lpstr>
      <vt:lpstr>'GF Rev by Obj'!Print_Area</vt:lpstr>
      <vt:lpstr>Print_Area</vt:lpstr>
    </vt:vector>
  </TitlesOfParts>
  <Company>Lewisville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Maniscalco</dc:creator>
  <cp:lastModifiedBy>Trevino, Rosemary</cp:lastModifiedBy>
  <cp:lastPrinted>2020-08-20T16:23:30Z</cp:lastPrinted>
  <dcterms:created xsi:type="dcterms:W3CDTF">2011-07-09T17:36:36Z</dcterms:created>
  <dcterms:modified xsi:type="dcterms:W3CDTF">2020-08-20T18:18:32Z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